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ty94001\Desktop\強專案工作\電力配置\"/>
    </mc:Choice>
  </mc:AlternateContent>
  <bookViews>
    <workbookView xWindow="0" yWindow="0" windowWidth="28800" windowHeight="12270" activeTab="1"/>
  </bookViews>
  <sheets>
    <sheet name="111&amp;112節能比較表(修改)" sheetId="1" r:id="rId1"/>
    <sheet name="年度能源節約率" sheetId="2" r:id="rId2"/>
  </sheets>
  <externalReferences>
    <externalReference r:id="rId3"/>
    <externalReference r:id="rId4"/>
  </externalReferences>
  <definedNames>
    <definedName name="T_BWR_05">"檢料車"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2" l="1"/>
  <c r="J13" i="2"/>
  <c r="I12" i="2"/>
  <c r="H12" i="2"/>
  <c r="G12" i="2"/>
  <c r="F12" i="2"/>
  <c r="E12" i="2"/>
  <c r="D12" i="2"/>
  <c r="C12" i="2"/>
  <c r="H11" i="2"/>
  <c r="J7" i="2"/>
  <c r="J8" i="2" s="1"/>
  <c r="J10" i="2" s="1"/>
  <c r="J6" i="2"/>
  <c r="J12" i="2" s="1"/>
  <c r="I5" i="2"/>
  <c r="J4" i="2"/>
  <c r="J22" i="2" s="1"/>
  <c r="J3" i="2"/>
  <c r="C40" i="1"/>
  <c r="F39" i="1"/>
  <c r="F40" i="1" s="1"/>
  <c r="E39" i="1"/>
  <c r="E40" i="1" s="1"/>
  <c r="D39" i="1"/>
  <c r="D40" i="1" s="1"/>
  <c r="C39" i="1"/>
  <c r="N38" i="1"/>
  <c r="N39" i="1" s="1"/>
  <c r="N40" i="1" s="1"/>
  <c r="M38" i="1"/>
  <c r="M39" i="1" s="1"/>
  <c r="M40" i="1" s="1"/>
  <c r="L38" i="1"/>
  <c r="L39" i="1" s="1"/>
  <c r="L40" i="1" s="1"/>
  <c r="K38" i="1"/>
  <c r="K39" i="1" s="1"/>
  <c r="K40" i="1" s="1"/>
  <c r="J38" i="1"/>
  <c r="J39" i="1" s="1"/>
  <c r="J40" i="1" s="1"/>
  <c r="I38" i="1"/>
  <c r="I39" i="1" s="1"/>
  <c r="I40" i="1" s="1"/>
  <c r="H38" i="1"/>
  <c r="H39" i="1" s="1"/>
  <c r="H40" i="1" s="1"/>
  <c r="G38" i="1"/>
  <c r="O38" i="1" s="1"/>
  <c r="N37" i="1"/>
  <c r="O37" i="1" s="1"/>
  <c r="M37" i="1"/>
  <c r="L37" i="1"/>
  <c r="K37" i="1"/>
  <c r="J37" i="1"/>
  <c r="I37" i="1"/>
  <c r="H37" i="1"/>
  <c r="G37" i="1"/>
  <c r="I36" i="1"/>
  <c r="F36" i="1"/>
  <c r="E36" i="1"/>
  <c r="D36" i="1"/>
  <c r="C36" i="1"/>
  <c r="N35" i="1"/>
  <c r="N36" i="1" s="1"/>
  <c r="M35" i="1"/>
  <c r="M36" i="1" s="1"/>
  <c r="L35" i="1"/>
  <c r="L36" i="1" s="1"/>
  <c r="H35" i="1"/>
  <c r="H36" i="1" s="1"/>
  <c r="G35" i="1"/>
  <c r="G36" i="1" s="1"/>
  <c r="K34" i="1"/>
  <c r="J34" i="1"/>
  <c r="O34" i="1" s="1"/>
  <c r="E32" i="1"/>
  <c r="E33" i="1" s="1"/>
  <c r="C32" i="1"/>
  <c r="C33" i="1" s="1"/>
  <c r="N31" i="1"/>
  <c r="N32" i="1" s="1"/>
  <c r="N33" i="1" s="1"/>
  <c r="M31" i="1"/>
  <c r="O31" i="1" s="1"/>
  <c r="L31" i="1"/>
  <c r="K31" i="1"/>
  <c r="K35" i="1" s="1"/>
  <c r="K36" i="1" s="1"/>
  <c r="J31" i="1"/>
  <c r="J35" i="1" s="1"/>
  <c r="I31" i="1"/>
  <c r="I32" i="1" s="1"/>
  <c r="I33" i="1" s="1"/>
  <c r="H31" i="1"/>
  <c r="H32" i="1" s="1"/>
  <c r="H33" i="1" s="1"/>
  <c r="G31" i="1"/>
  <c r="G32" i="1" s="1"/>
  <c r="G33" i="1" s="1"/>
  <c r="F31" i="1"/>
  <c r="F32" i="1" s="1"/>
  <c r="F33" i="1" s="1"/>
  <c r="D31" i="1"/>
  <c r="D32" i="1" s="1"/>
  <c r="N30" i="1"/>
  <c r="M30" i="1"/>
  <c r="L30" i="1"/>
  <c r="O30" i="1" s="1"/>
  <c r="K30" i="1"/>
  <c r="K32" i="1" s="1"/>
  <c r="K33" i="1" s="1"/>
  <c r="J30" i="1"/>
  <c r="I30" i="1"/>
  <c r="F30" i="1"/>
  <c r="N29" i="1"/>
  <c r="M29" i="1"/>
  <c r="L29" i="1"/>
  <c r="K29" i="1"/>
  <c r="J29" i="1"/>
  <c r="I29" i="1"/>
  <c r="H29" i="1"/>
  <c r="G29" i="1"/>
  <c r="F29" i="1"/>
  <c r="E29" i="1"/>
  <c r="D29" i="1"/>
  <c r="C29" i="1"/>
  <c r="O29" i="1" s="1"/>
  <c r="O28" i="1"/>
  <c r="O27" i="1"/>
  <c r="O26" i="1"/>
  <c r="M24" i="1"/>
  <c r="M25" i="1" s="1"/>
  <c r="G24" i="1"/>
  <c r="G25" i="1" s="1"/>
  <c r="F24" i="1"/>
  <c r="F25" i="1" s="1"/>
  <c r="E24" i="1"/>
  <c r="E25" i="1" s="1"/>
  <c r="D24" i="1"/>
  <c r="D25" i="1" s="1"/>
  <c r="C24" i="1"/>
  <c r="N23" i="1"/>
  <c r="N24" i="1" s="1"/>
  <c r="N25" i="1" s="1"/>
  <c r="M23" i="1"/>
  <c r="L23" i="1"/>
  <c r="L24" i="1" s="1"/>
  <c r="L25" i="1" s="1"/>
  <c r="K23" i="1"/>
  <c r="K24" i="1" s="1"/>
  <c r="K25" i="1" s="1"/>
  <c r="J23" i="1"/>
  <c r="I23" i="1"/>
  <c r="I24" i="1" s="1"/>
  <c r="I25" i="1" s="1"/>
  <c r="H23" i="1"/>
  <c r="H24" i="1" s="1"/>
  <c r="H25" i="1" s="1"/>
  <c r="F23" i="1"/>
  <c r="O22" i="1"/>
  <c r="K21" i="1"/>
  <c r="J21" i="1"/>
  <c r="J24" i="1" s="1"/>
  <c r="J25" i="1" s="1"/>
  <c r="I21" i="1"/>
  <c r="O21" i="1" s="1"/>
  <c r="D20" i="1"/>
  <c r="N19" i="1"/>
  <c r="N20" i="1" s="1"/>
  <c r="M19" i="1"/>
  <c r="M20" i="1" s="1"/>
  <c r="L19" i="1"/>
  <c r="L20" i="1" s="1"/>
  <c r="K19" i="1"/>
  <c r="K20" i="1" s="1"/>
  <c r="J19" i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C19" i="1"/>
  <c r="C20" i="1" s="1"/>
  <c r="K18" i="1"/>
  <c r="J18" i="1"/>
  <c r="I18" i="1"/>
  <c r="H18" i="1"/>
  <c r="G18" i="1"/>
  <c r="F18" i="1"/>
  <c r="O18" i="1" s="1"/>
  <c r="K17" i="1"/>
  <c r="J17" i="1"/>
  <c r="I17" i="1"/>
  <c r="O17" i="1" s="1"/>
  <c r="H17" i="1"/>
  <c r="G17" i="1"/>
  <c r="F17" i="1"/>
  <c r="E17" i="1"/>
  <c r="I15" i="1"/>
  <c r="I16" i="1" s="1"/>
  <c r="E15" i="1"/>
  <c r="E16" i="1" s="1"/>
  <c r="D15" i="1"/>
  <c r="D16" i="1" s="1"/>
  <c r="C15" i="1"/>
  <c r="C16" i="1" s="1"/>
  <c r="N14" i="1"/>
  <c r="N15" i="1" s="1"/>
  <c r="N16" i="1" s="1"/>
  <c r="M14" i="1"/>
  <c r="M15" i="1" s="1"/>
  <c r="M16" i="1" s="1"/>
  <c r="L14" i="1"/>
  <c r="L15" i="1" s="1"/>
  <c r="L16" i="1" s="1"/>
  <c r="K14" i="1"/>
  <c r="K15" i="1" s="1"/>
  <c r="K16" i="1" s="1"/>
  <c r="J14" i="1"/>
  <c r="J15" i="1" s="1"/>
  <c r="J16" i="1" s="1"/>
  <c r="I14" i="1"/>
  <c r="H14" i="1"/>
  <c r="H15" i="1" s="1"/>
  <c r="H16" i="1" s="1"/>
  <c r="G14" i="1"/>
  <c r="G15" i="1" s="1"/>
  <c r="G16" i="1" s="1"/>
  <c r="F14" i="1"/>
  <c r="F15" i="1" s="1"/>
  <c r="O13" i="1"/>
  <c r="K12" i="1"/>
  <c r="J12" i="1"/>
  <c r="I12" i="1"/>
  <c r="H12" i="1"/>
  <c r="G12" i="1"/>
  <c r="F12" i="1"/>
  <c r="O12" i="1" s="1"/>
  <c r="E11" i="1"/>
  <c r="D11" i="1"/>
  <c r="C11" i="1"/>
  <c r="N10" i="1"/>
  <c r="N11" i="1" s="1"/>
  <c r="M10" i="1"/>
  <c r="M11" i="1" s="1"/>
  <c r="L10" i="1"/>
  <c r="L11" i="1" s="1"/>
  <c r="K10" i="1"/>
  <c r="K11" i="1" s="1"/>
  <c r="J10" i="1"/>
  <c r="J11" i="1" s="1"/>
  <c r="I10" i="1"/>
  <c r="I11" i="1" s="1"/>
  <c r="H10" i="1"/>
  <c r="H11" i="1" s="1"/>
  <c r="G10" i="1"/>
  <c r="G11" i="1" s="1"/>
  <c r="F10" i="1"/>
  <c r="O10" i="1" s="1"/>
  <c r="O9" i="1"/>
  <c r="K9" i="1"/>
  <c r="J9" i="1"/>
  <c r="I9" i="1"/>
  <c r="H9" i="1"/>
  <c r="G9" i="1"/>
  <c r="F9" i="1"/>
  <c r="K8" i="1"/>
  <c r="J8" i="1"/>
  <c r="I8" i="1"/>
  <c r="H8" i="1"/>
  <c r="G8" i="1"/>
  <c r="O8" i="1" s="1"/>
  <c r="F8" i="1"/>
  <c r="E7" i="1"/>
  <c r="F6" i="1"/>
  <c r="F7" i="1" s="1"/>
  <c r="E6" i="1"/>
  <c r="D6" i="1"/>
  <c r="D7" i="1" s="1"/>
  <c r="C6" i="1"/>
  <c r="C7" i="1" s="1"/>
  <c r="N5" i="1"/>
  <c r="N6" i="1" s="1"/>
  <c r="N7" i="1" s="1"/>
  <c r="M5" i="1"/>
  <c r="M6" i="1" s="1"/>
  <c r="M7" i="1" s="1"/>
  <c r="L5" i="1"/>
  <c r="L6" i="1" s="1"/>
  <c r="L7" i="1" s="1"/>
  <c r="K5" i="1"/>
  <c r="K6" i="1" s="1"/>
  <c r="K7" i="1" s="1"/>
  <c r="J5" i="1"/>
  <c r="J6" i="1" s="1"/>
  <c r="J7" i="1" s="1"/>
  <c r="I5" i="1"/>
  <c r="I6" i="1" s="1"/>
  <c r="I7" i="1" s="1"/>
  <c r="H5" i="1"/>
  <c r="H6" i="1" s="1"/>
  <c r="H7" i="1" s="1"/>
  <c r="G5" i="1"/>
  <c r="G6" i="1" s="1"/>
  <c r="G7" i="1" s="1"/>
  <c r="F5" i="1"/>
  <c r="K4" i="1"/>
  <c r="J4" i="1"/>
  <c r="I4" i="1"/>
  <c r="H4" i="1"/>
  <c r="G4" i="1"/>
  <c r="F4" i="1"/>
  <c r="O4" i="1" s="1"/>
  <c r="K3" i="1"/>
  <c r="J3" i="1"/>
  <c r="I3" i="1"/>
  <c r="O3" i="1" s="1"/>
  <c r="H3" i="1"/>
  <c r="G3" i="1"/>
  <c r="F3" i="1"/>
  <c r="O20" i="1" l="1"/>
  <c r="D33" i="1"/>
  <c r="O24" i="1"/>
  <c r="O25" i="1" s="1"/>
  <c r="J36" i="1"/>
  <c r="O36" i="1" s="1"/>
  <c r="O35" i="1"/>
  <c r="F16" i="1"/>
  <c r="O15" i="1"/>
  <c r="O16" i="1" s="1"/>
  <c r="O11" i="1"/>
  <c r="L32" i="1"/>
  <c r="L33" i="1" s="1"/>
  <c r="O23" i="1"/>
  <c r="F11" i="1"/>
  <c r="C25" i="1"/>
  <c r="O14" i="1"/>
  <c r="O5" i="1"/>
  <c r="J9" i="2"/>
  <c r="J14" i="2"/>
  <c r="O6" i="1"/>
  <c r="O7" i="1" s="1"/>
  <c r="J17" i="2"/>
  <c r="M32" i="1"/>
  <c r="M33" i="1" s="1"/>
  <c r="G39" i="1"/>
  <c r="G40" i="1" s="1"/>
  <c r="J5" i="2"/>
  <c r="O19" i="1"/>
  <c r="J32" i="1"/>
  <c r="J33" i="1" s="1"/>
  <c r="O39" i="1" l="1"/>
  <c r="O40" i="1" s="1"/>
  <c r="O32" i="1"/>
  <c r="O33" i="1" s="1"/>
</calcChain>
</file>

<file path=xl/comments1.xml><?xml version="1.0" encoding="utf-8"?>
<comments xmlns="http://schemas.openxmlformats.org/spreadsheetml/2006/main">
  <authors>
    <author>徐品溱</author>
    <author>曾楷絜</author>
  </authors>
  <commentList>
    <comment ref="O8" authorId="0" shapeId="0">
      <text>
        <r>
          <rPr>
            <sz val="9"/>
            <rFont val="Tahoma"/>
            <family val="2"/>
          </rPr>
          <t xml:space="preserve">
</t>
        </r>
        <r>
          <rPr>
            <sz val="9"/>
            <rFont val="細明體"/>
            <family val="3"/>
            <charset val="136"/>
          </rPr>
          <t>徐品溱</t>
        </r>
        <r>
          <rPr>
            <sz val="9"/>
            <rFont val="Tahoma"/>
            <family val="2"/>
          </rPr>
          <t xml:space="preserve">:
</t>
        </r>
        <r>
          <rPr>
            <sz val="9"/>
            <rFont val="Tahoma"/>
            <family val="2"/>
          </rPr>
          <t xml:space="preserve">110/01~110/02
</t>
        </r>
        <r>
          <rPr>
            <sz val="9"/>
            <rFont val="細明體"/>
            <family val="3"/>
            <charset val="136"/>
          </rPr>
          <t xml:space="preserve">電費2630051元
</t>
        </r>
        <r>
          <rPr>
            <sz val="9"/>
            <rFont val="細明體"/>
            <family val="3"/>
            <charset val="136"/>
          </rPr>
          <t xml:space="preserve">紓困減免
</t>
        </r>
        <r>
          <rPr>
            <sz val="9"/>
            <rFont val="細明體"/>
            <family val="3"/>
            <charset val="136"/>
          </rPr>
          <t>電費實繳為</t>
        </r>
        <r>
          <rPr>
            <sz val="9"/>
            <rFont val="Tahoma"/>
            <family val="2"/>
          </rPr>
          <t xml:space="preserve">0
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Tahoma"/>
            <family val="2"/>
          </rPr>
          <t xml:space="preserve">110/3 </t>
        </r>
        <r>
          <rPr>
            <sz val="9"/>
            <rFont val="細明體"/>
            <family val="3"/>
            <charset val="136"/>
          </rPr>
          <t>電費紓困減免$99580</t>
        </r>
      </text>
    </comment>
    <comment ref="O9" authorId="0" shapeId="0">
      <text>
        <r>
          <rPr>
            <sz val="9"/>
            <rFont val="Tahoma"/>
            <family val="2"/>
          </rPr>
          <t xml:space="preserve">
</t>
        </r>
        <r>
          <rPr>
            <sz val="9"/>
            <rFont val="細明體"/>
            <family val="3"/>
            <charset val="136"/>
          </rPr>
          <t>徐品溱</t>
        </r>
        <r>
          <rPr>
            <sz val="9"/>
            <rFont val="Tahoma"/>
            <family val="2"/>
          </rPr>
          <t xml:space="preserve">:
</t>
        </r>
        <r>
          <rPr>
            <sz val="9"/>
            <rFont val="Tahoma"/>
            <family val="2"/>
          </rPr>
          <t xml:space="preserve">110/01~110/02
</t>
        </r>
        <r>
          <rPr>
            <sz val="9"/>
            <rFont val="細明體"/>
            <family val="3"/>
            <charset val="136"/>
          </rPr>
          <t xml:space="preserve">電費2630051元
</t>
        </r>
        <r>
          <rPr>
            <sz val="9"/>
            <rFont val="細明體"/>
            <family val="3"/>
            <charset val="136"/>
          </rPr>
          <t xml:space="preserve">紓困減免
</t>
        </r>
        <r>
          <rPr>
            <sz val="9"/>
            <rFont val="細明體"/>
            <family val="3"/>
            <charset val="136"/>
          </rPr>
          <t>電費實繳為</t>
        </r>
        <r>
          <rPr>
            <sz val="9"/>
            <rFont val="Tahoma"/>
            <family val="2"/>
          </rPr>
          <t xml:space="preserve">0
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Tahoma"/>
            <family val="2"/>
          </rPr>
          <t xml:space="preserve">110/3 </t>
        </r>
        <r>
          <rPr>
            <sz val="9"/>
            <rFont val="細明體"/>
            <family val="3"/>
            <charset val="136"/>
          </rPr>
          <t>電費紓困減免$99580</t>
        </r>
      </text>
    </comment>
    <comment ref="A30" authorId="1" shapeId="0">
      <text>
        <r>
          <rPr>
            <b/>
            <sz val="16"/>
            <color indexed="81"/>
            <rFont val="微軟正黑體"/>
            <family val="2"/>
            <charset val="136"/>
          </rPr>
          <t>含廢油脂</t>
        </r>
      </text>
    </comment>
    <comment ref="A37" authorId="1" shapeId="0">
      <text>
        <r>
          <rPr>
            <b/>
            <sz val="12"/>
            <color indexed="20"/>
            <rFont val="微軟正黑體"/>
            <family val="2"/>
            <charset val="136"/>
          </rPr>
          <t>和諧EMS網站+新空調系統</t>
        </r>
      </text>
    </comment>
  </commentList>
</comments>
</file>

<file path=xl/comments2.xml><?xml version="1.0" encoding="utf-8"?>
<comments xmlns="http://schemas.openxmlformats.org/spreadsheetml/2006/main">
  <authors>
    <author>曾楷絜</author>
  </authors>
  <commentList>
    <comment ref="B3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12個月自來水用量加總(from月報數據)</t>
        </r>
      </text>
    </comment>
    <comment ref="B4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水抄表(19殺菌釜out)+(20筏基)：112/12/31-111/12/31</t>
        </r>
      </text>
    </comment>
    <comment ref="B5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%=(節約用水/用水量)*100</t>
        </r>
      </text>
    </comment>
    <comment ref="B6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12個月用電度數加總(from月報數據)</t>
        </r>
      </text>
    </comment>
    <comment ref="J7" authorId="0" shapeId="0">
      <text>
        <r>
          <rPr>
            <sz val="9"/>
            <color indexed="81"/>
            <rFont val="Tahoma"/>
            <family val="2"/>
          </rPr>
          <t xml:space="preserve">=(786890*6/12)+39341+(9110*5/12)+(4536*4/12)+(5011*6/12)
</t>
        </r>
      </text>
    </comment>
    <comment ref="B14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水抄表(19殺菌釜out)+(20筏基)：112/12/31-111/12/31</t>
        </r>
      </text>
    </comment>
    <comment ref="B19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使用Excel"節能量及節約率試算表"計算數值</t>
        </r>
      </text>
    </comment>
    <comment ref="B20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使用Excel"節能量及節約率試算表"計算數值</t>
        </r>
      </text>
    </comment>
    <comment ref="B22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同水資源"節省用水"</t>
        </r>
      </text>
    </comment>
    <comment ref="B24" authorId="0" shapeId="0">
      <text>
        <r>
          <rPr>
            <b/>
            <sz val="9"/>
            <color indexed="81"/>
            <rFont val="微軟正黑體"/>
            <family val="2"/>
            <charset val="136"/>
          </rPr>
          <t>12個月廢水排放量加總</t>
        </r>
      </text>
    </comment>
  </commentList>
</comments>
</file>

<file path=xl/sharedStrings.xml><?xml version="1.0" encoding="utf-8"?>
<sst xmlns="http://schemas.openxmlformats.org/spreadsheetml/2006/main" count="113" uniqueCount="90">
  <si>
    <t>111年與112年節能比較表</t>
    <phoneticPr fontId="6" type="noConversion"/>
  </si>
  <si>
    <t>項目</t>
  </si>
  <si>
    <t>年度    /    月份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</si>
  <si>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</si>
  <si>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</si>
  <si>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</si>
  <si>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</si>
  <si>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</si>
  <si>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</si>
  <si>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</si>
  <si>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</si>
  <si>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</si>
  <si>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</si>
  <si>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</si>
  <si>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</si>
  <si>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</si>
  <si>
    <t>電費</t>
  </si>
  <si>
    <t>111年用量</t>
    <phoneticPr fontId="6" type="noConversion"/>
  </si>
  <si>
    <t>112年用量</t>
    <phoneticPr fontId="6" type="noConversion"/>
  </si>
  <si>
    <t>112-111差異</t>
  </si>
  <si>
    <t>節電率(%)</t>
    <phoneticPr fontId="6" type="noConversion"/>
  </si>
  <si>
    <t>111年費用</t>
    <phoneticPr fontId="6" type="noConversion"/>
  </si>
  <si>
    <t>112年費用</t>
    <phoneticPr fontId="6" type="noConversion"/>
  </si>
  <si>
    <t>自來水</t>
  </si>
  <si>
    <t>112年用量</t>
    <phoneticPr fontId="6" type="noConversion"/>
  </si>
  <si>
    <t>節水率(%)</t>
    <phoneticPr fontId="6" type="noConversion"/>
  </si>
  <si>
    <t>111年費用</t>
    <phoneticPr fontId="6" type="noConversion"/>
  </si>
  <si>
    <t>112年費用</t>
    <phoneticPr fontId="6" type="noConversion"/>
  </si>
  <si>
    <t>廢水</t>
    <phoneticPr fontId="6" type="noConversion"/>
  </si>
  <si>
    <t>111年用量</t>
    <phoneticPr fontId="6" type="noConversion"/>
  </si>
  <si>
    <t>節省排放率(%)</t>
    <phoneticPr fontId="6" type="noConversion"/>
  </si>
  <si>
    <t>111年費用</t>
    <phoneticPr fontId="6" type="noConversion"/>
  </si>
  <si>
    <t>112年費用</t>
    <phoneticPr fontId="6" type="noConversion"/>
  </si>
  <si>
    <t>污泥</t>
    <phoneticPr fontId="6" type="noConversion"/>
  </si>
  <si>
    <t>污泥減量率(%)</t>
    <phoneticPr fontId="6" type="noConversion"/>
  </si>
  <si>
    <t>111年費用</t>
    <phoneticPr fontId="6" type="noConversion"/>
  </si>
  <si>
    <t>冷凍空調</t>
    <phoneticPr fontId="6" type="noConversion"/>
  </si>
  <si>
    <t>111年用電量</t>
    <phoneticPr fontId="6" type="noConversion"/>
  </si>
  <si>
    <t>112年用電量</t>
    <phoneticPr fontId="6" type="noConversion"/>
  </si>
  <si>
    <t>節電率(%)</t>
    <phoneticPr fontId="6" type="noConversion"/>
  </si>
  <si>
    <t xml:space="preserve">      課長  :                                                                                            製表  : 曾楷絜</t>
    <phoneticPr fontId="6" type="noConversion"/>
  </si>
  <si>
    <t>年度能源節約率</t>
    <phoneticPr fontId="5" type="noConversion"/>
  </si>
  <si>
    <t>分類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</si>
  <si>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</si>
  <si>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</si>
  <si>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</si>
  <si>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</si>
  <si>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</si>
  <si>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</si>
  <si>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</si>
  <si>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</si>
  <si>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水資源</t>
  </si>
  <si>
    <t>用水量(噸)</t>
  </si>
  <si>
    <t>課長提供</t>
    <phoneticPr fontId="6" type="noConversion"/>
  </si>
  <si>
    <t>節省用水(m3/年)</t>
  </si>
  <si>
    <t>節能試算表試算</t>
    <phoneticPr fontId="6" type="noConversion"/>
  </si>
  <si>
    <t>節水率(%)</t>
  </si>
  <si>
    <t>需提供並已帶公式</t>
    <phoneticPr fontId="6" type="noConversion"/>
  </si>
  <si>
    <t>電力</t>
  </si>
  <si>
    <t>用電量(度 kwh)</t>
  </si>
  <si>
    <t>要看專案</t>
    <phoneticPr fontId="6" type="noConversion"/>
  </si>
  <si>
    <t>節省用電(度/年)</t>
  </si>
  <si>
    <t>節電率(%)</t>
  </si>
  <si>
    <t>用電節約量(千度KWh)</t>
    <phoneticPr fontId="5" type="noConversion"/>
  </si>
  <si>
    <t>用電節約率</t>
    <phoneticPr fontId="5" type="noConversion"/>
  </si>
  <si>
    <t xml:space="preserve">總產值  </t>
  </si>
  <si>
    <t>新台幣(元)</t>
  </si>
  <si>
    <t>能源密集度</t>
  </si>
  <si>
    <t>百分比 (%)</t>
  </si>
  <si>
    <t>再生能源</t>
  </si>
  <si>
    <t>太陽能發電量（度）</t>
  </si>
  <si>
    <t>能資源績效</t>
  </si>
  <si>
    <t>節省蒸氣(m3/年)</t>
  </si>
  <si>
    <t>─</t>
  </si>
  <si>
    <t>節省瓦斯量(kg/年)</t>
  </si>
  <si>
    <t>節省原物料(kg/年)</t>
  </si>
  <si>
    <t>能源節約量(公秉油當量/年)</t>
    <phoneticPr fontId="5" type="noConversion"/>
  </si>
  <si>
    <t>能源節約率</t>
    <phoneticPr fontId="5" type="noConversion"/>
  </si>
  <si>
    <t>環境績效</t>
  </si>
  <si>
    <t>CO2減量(噸/年)</t>
  </si>
  <si>
    <t>減少廢水(m3/年)</t>
  </si>
  <si>
    <t>減少事業廢棄物(kg/年)</t>
  </si>
  <si>
    <t>環保統計表</t>
    <phoneticPr fontId="5" type="noConversion"/>
  </si>
  <si>
    <t>污水排放量(噸)</t>
  </si>
  <si>
    <t>食品加工污泥(公噸)</t>
  </si>
  <si>
    <t>廢鐵回收再利用(公噸)</t>
  </si>
  <si>
    <t>廢空罐回收再利用(公噸)</t>
  </si>
  <si>
    <t>廢紙回收再利用(公噸)</t>
  </si>
  <si>
    <t>廚餘回收再利用(公噸)</t>
  </si>
  <si>
    <t>木製棧板再利用(公噸)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</si>
</sst>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#,##0_ ;[Red]\-#,##0\ "/>
    <numFmt numFmtId="178" formatCode="#,##0.00_ ;[Red]\-#,##0.00\ "/>
    <numFmt numFmtId="179" formatCode="0_);[Red]\(0\)"/>
    <numFmt numFmtId="180" formatCode="0.000_);[Red]\(0.000\)"/>
  </numFmts>
  <fonts count="23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2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4"/>
      <name val="新細明體"/>
      <family val="1"/>
      <charset val="136"/>
      <scheme val="minor"/>
    </font>
    <font>
      <sz val="14"/>
      <color rgb="FF0000FF"/>
      <name val="新細明體"/>
      <family val="1"/>
      <charset val="136"/>
      <scheme val="minor"/>
    </font>
    <font>
      <sz val="14"/>
      <color rgb="FF7030A0"/>
      <name val="新細明體"/>
      <family val="1"/>
      <charset val="136"/>
      <scheme val="minor"/>
    </font>
    <font>
      <sz val="14"/>
      <color theme="1"/>
      <name val="新細明體"/>
      <family val="1"/>
      <charset val="136"/>
    </font>
    <font>
      <sz val="14"/>
      <name val="新細明體"/>
      <family val="1"/>
      <charset val="136"/>
    </font>
    <font>
      <sz val="14"/>
      <color rgb="FF7030A0"/>
      <name val="新細明體"/>
      <family val="1"/>
      <charset val="136"/>
    </font>
    <font>
      <sz val="9"/>
      <name val="Tahoma"/>
      <family val="2"/>
    </font>
    <font>
      <sz val="9"/>
      <name val="細明體"/>
      <family val="3"/>
      <charset val="136"/>
    </font>
    <font>
      <b/>
      <sz val="16"/>
      <color indexed="81"/>
      <name val="微軟正黑體"/>
      <family val="2"/>
      <charset val="136"/>
    </font>
    <font>
      <b/>
      <sz val="12"/>
      <color indexed="20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9"/>
      <color indexed="81"/>
      <name val="微軟正黑體"/>
      <family val="2"/>
      <charset val="136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176" fontId="4" fillId="0" borderId="1" xfId="1" applyNumberFormat="1" applyFont="1" applyFill="1" applyBorder="1" applyAlignment="1" applyProtection="1">
      <alignment horizontal="center" vertical="center"/>
    </xf>
    <xf numFmtId="0" fontId="3" fillId="0" borderId="0" xfId="1"/>
    <xf numFmtId="176" fontId="7" fillId="0" borderId="2" xfId="1" applyNumberFormat="1" applyFont="1" applyFill="1" applyBorder="1" applyAlignment="1" applyProtection="1">
      <alignment horizontal="center" vertical="center"/>
    </xf>
    <xf numFmtId="176" fontId="7" fillId="0" borderId="3" xfId="1" applyNumberFormat="1" applyFont="1" applyFill="1" applyBorder="1" applyAlignment="1" applyProtection="1">
      <alignment horizontal="center" vertical="center"/>
    </xf>
    <xf numFmtId="176" fontId="7" fillId="0" borderId="4" xfId="1" applyNumberFormat="1" applyFont="1" applyFill="1" applyBorder="1" applyAlignment="1" applyProtection="1">
      <alignment horizontal="center"/>
    </xf>
    <xf numFmtId="176" fontId="7" fillId="0" borderId="5" xfId="1" applyNumberFormat="1" applyFont="1" applyFill="1" applyBorder="1" applyAlignment="1" applyProtection="1">
      <alignment horizontal="center"/>
    </xf>
    <xf numFmtId="176" fontId="7" fillId="0" borderId="6" xfId="1" applyNumberFormat="1" applyFont="1" applyFill="1" applyBorder="1" applyAlignment="1" applyProtection="1">
      <alignment horizontal="center" vertical="center"/>
    </xf>
    <xf numFmtId="176" fontId="7" fillId="2" borderId="1" xfId="1" applyNumberFormat="1" applyFont="1" applyFill="1" applyBorder="1" applyAlignment="1">
      <alignment horizontal="center"/>
    </xf>
    <xf numFmtId="176" fontId="7" fillId="2" borderId="7" xfId="1" applyNumberFormat="1" applyFont="1" applyFill="1" applyBorder="1" applyAlignment="1">
      <alignment horizontal="center"/>
    </xf>
    <xf numFmtId="176" fontId="7" fillId="0" borderId="1" xfId="1" applyNumberFormat="1" applyFont="1" applyFill="1" applyBorder="1" applyAlignment="1" applyProtection="1">
      <alignment horizontal="center"/>
    </xf>
    <xf numFmtId="176" fontId="7" fillId="0" borderId="7" xfId="1" applyNumberFormat="1" applyFont="1" applyFill="1" applyBorder="1" applyAlignment="1" applyProtection="1">
      <alignment horizontal="center"/>
    </xf>
    <xf numFmtId="176" fontId="8" fillId="0" borderId="1" xfId="1" applyNumberFormat="1" applyFont="1" applyFill="1" applyBorder="1" applyAlignment="1" applyProtection="1">
      <alignment horizontal="center"/>
    </xf>
    <xf numFmtId="177" fontId="8" fillId="0" borderId="1" xfId="1" applyNumberFormat="1" applyFont="1" applyFill="1" applyBorder="1" applyAlignment="1" applyProtection="1">
      <alignment horizontal="center"/>
    </xf>
    <xf numFmtId="177" fontId="8" fillId="0" borderId="7" xfId="1" applyNumberFormat="1" applyFont="1" applyFill="1" applyBorder="1" applyAlignment="1" applyProtection="1">
      <alignment horizontal="center"/>
    </xf>
    <xf numFmtId="176" fontId="9" fillId="0" borderId="1" xfId="1" applyNumberFormat="1" applyFont="1" applyFill="1" applyBorder="1" applyAlignment="1">
      <alignment horizontal="center"/>
    </xf>
    <xf numFmtId="178" fontId="9" fillId="0" borderId="1" xfId="1" applyNumberFormat="1" applyFont="1" applyFill="1" applyBorder="1" applyAlignment="1">
      <alignment horizontal="center"/>
    </xf>
    <xf numFmtId="178" fontId="9" fillId="0" borderId="7" xfId="1" applyNumberFormat="1" applyFont="1" applyFill="1" applyBorder="1" applyAlignment="1">
      <alignment horizontal="center"/>
    </xf>
    <xf numFmtId="176" fontId="7" fillId="0" borderId="8" xfId="1" applyNumberFormat="1" applyFont="1" applyFill="1" applyBorder="1" applyAlignment="1" applyProtection="1">
      <alignment horizontal="center" vertical="center"/>
    </xf>
    <xf numFmtId="176" fontId="8" fillId="0" borderId="9" xfId="1" applyNumberFormat="1" applyFont="1" applyFill="1" applyBorder="1" applyAlignment="1">
      <alignment horizontal="center"/>
    </xf>
    <xf numFmtId="177" fontId="8" fillId="0" borderId="9" xfId="1" applyNumberFormat="1" applyFont="1" applyFill="1" applyBorder="1" applyAlignment="1">
      <alignment horizontal="center"/>
    </xf>
    <xf numFmtId="177" fontId="8" fillId="0" borderId="10" xfId="1" applyNumberFormat="1" applyFont="1" applyFill="1" applyBorder="1" applyAlignment="1" applyProtection="1">
      <alignment horizontal="center"/>
    </xf>
    <xf numFmtId="176" fontId="7" fillId="0" borderId="11" xfId="1" applyNumberFormat="1" applyFont="1" applyFill="1" applyBorder="1" applyAlignment="1" applyProtection="1">
      <alignment horizontal="center" vertical="center"/>
    </xf>
    <xf numFmtId="176" fontId="7" fillId="0" borderId="12" xfId="1" applyNumberFormat="1" applyFont="1" applyFill="1" applyBorder="1" applyAlignment="1" applyProtection="1">
      <alignment horizontal="center" vertical="center"/>
    </xf>
    <xf numFmtId="176" fontId="7" fillId="0" borderId="13" xfId="1" applyNumberFormat="1" applyFont="1" applyFill="1" applyBorder="1" applyAlignment="1" applyProtection="1">
      <alignment horizontal="center" vertical="center"/>
    </xf>
    <xf numFmtId="176" fontId="8" fillId="0" borderId="9" xfId="1" applyNumberFormat="1" applyFont="1" applyFill="1" applyBorder="1" applyAlignment="1" applyProtection="1">
      <alignment horizontal="center"/>
    </xf>
    <xf numFmtId="176" fontId="7" fillId="0" borderId="4" xfId="1" applyNumberFormat="1" applyFont="1" applyFill="1" applyBorder="1" applyAlignment="1" applyProtection="1">
      <alignment horizontal="center"/>
      <protection locked="0"/>
    </xf>
    <xf numFmtId="176" fontId="10" fillId="2" borderId="1" xfId="1" applyNumberFormat="1" applyFont="1" applyFill="1" applyBorder="1" applyAlignment="1">
      <alignment horizontal="center"/>
    </xf>
    <xf numFmtId="176" fontId="7" fillId="3" borderId="1" xfId="1" applyNumberFormat="1" applyFont="1" applyFill="1" applyBorder="1" applyAlignment="1">
      <alignment horizontal="center"/>
    </xf>
    <xf numFmtId="176" fontId="7" fillId="0" borderId="1" xfId="1" applyNumberFormat="1" applyFont="1" applyFill="1" applyBorder="1" applyAlignment="1" applyProtection="1">
      <alignment horizontal="center"/>
      <protection locked="0"/>
    </xf>
    <xf numFmtId="0" fontId="11" fillId="0" borderId="11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/>
    </xf>
    <xf numFmtId="0" fontId="11" fillId="0" borderId="4" xfId="1" applyFont="1" applyFill="1" applyBorder="1" applyAlignment="1">
      <alignment horizontal="center"/>
    </xf>
    <xf numFmtId="1" fontId="11" fillId="0" borderId="4" xfId="1" applyNumberFormat="1" applyFont="1" applyFill="1" applyBorder="1" applyAlignment="1">
      <alignment horizontal="center"/>
    </xf>
    <xf numFmtId="0" fontId="11" fillId="0" borderId="1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1" fontId="11" fillId="0" borderId="1" xfId="1" applyNumberFormat="1" applyFont="1" applyFill="1" applyBorder="1" applyAlignment="1">
      <alignment horizontal="center"/>
    </xf>
    <xf numFmtId="0" fontId="11" fillId="0" borderId="14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/>
    </xf>
    <xf numFmtId="178" fontId="12" fillId="0" borderId="9" xfId="1" applyNumberFormat="1" applyFont="1" applyBorder="1" applyAlignment="1">
      <alignment horizontal="center"/>
    </xf>
    <xf numFmtId="0" fontId="11" fillId="0" borderId="15" xfId="1" applyFont="1" applyBorder="1" applyAlignment="1" applyProtection="1">
      <alignment horizontal="center"/>
    </xf>
    <xf numFmtId="0" fontId="11" fillId="0" borderId="16" xfId="1" applyFont="1" applyBorder="1" applyAlignment="1" applyProtection="1">
      <alignment horizontal="center"/>
    </xf>
    <xf numFmtId="0" fontId="11" fillId="0" borderId="17" xfId="1" applyFont="1" applyBorder="1" applyAlignment="1" applyProtection="1">
      <alignment horizontal="center"/>
    </xf>
    <xf numFmtId="0" fontId="17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1" fillId="0" borderId="0" xfId="2">
      <alignment vertical="center"/>
    </xf>
    <xf numFmtId="0" fontId="18" fillId="0" borderId="0" xfId="2" applyFont="1" applyFill="1" applyAlignment="1">
      <alignment horizontal="center" vertical="center"/>
    </xf>
    <xf numFmtId="0" fontId="18" fillId="0" borderId="15" xfId="2" applyFont="1" applyFill="1" applyBorder="1" applyAlignment="1">
      <alignment horizontal="center" vertical="center"/>
    </xf>
    <xf numFmtId="0" fontId="18" fillId="0" borderId="16" xfId="2" applyFont="1" applyFill="1" applyBorder="1" applyAlignment="1">
      <alignment horizontal="center" vertical="center"/>
    </xf>
    <xf numFmtId="0" fontId="18" fillId="0" borderId="17" xfId="2" applyFont="1" applyFill="1" applyBorder="1" applyAlignment="1">
      <alignment horizontal="center" vertical="center"/>
    </xf>
    <xf numFmtId="0" fontId="18" fillId="0" borderId="3" xfId="2" applyFont="1" applyFill="1" applyBorder="1" applyAlignment="1">
      <alignment horizontal="center" vertical="center"/>
    </xf>
    <xf numFmtId="0" fontId="18" fillId="4" borderId="4" xfId="2" applyFont="1" applyFill="1" applyBorder="1" applyAlignment="1">
      <alignment horizontal="center" vertical="center"/>
    </xf>
    <xf numFmtId="0" fontId="18" fillId="0" borderId="4" xfId="2" applyFont="1" applyFill="1" applyBorder="1" applyAlignment="1">
      <alignment horizontal="center" vertical="center"/>
    </xf>
    <xf numFmtId="0" fontId="18" fillId="4" borderId="5" xfId="2" applyFont="1" applyFill="1" applyBorder="1" applyAlignment="1">
      <alignment horizontal="center" vertical="center"/>
    </xf>
    <xf numFmtId="0" fontId="18" fillId="5" borderId="0" xfId="2" applyFont="1" applyFill="1" applyAlignment="1">
      <alignment horizontal="center" vertical="center"/>
    </xf>
    <xf numFmtId="0" fontId="18" fillId="0" borderId="6" xfId="2" applyFont="1" applyFill="1" applyBorder="1" applyAlignment="1">
      <alignment horizontal="center" vertical="center"/>
    </xf>
    <xf numFmtId="0" fontId="18" fillId="4" borderId="1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/>
    </xf>
    <xf numFmtId="1" fontId="18" fillId="0" borderId="1" xfId="2" applyNumberFormat="1" applyFont="1" applyFill="1" applyBorder="1" applyAlignment="1">
      <alignment horizontal="center" vertical="center"/>
    </xf>
    <xf numFmtId="1" fontId="18" fillId="4" borderId="7" xfId="2" applyNumberFormat="1" applyFont="1" applyFill="1" applyBorder="1" applyAlignment="1">
      <alignment horizontal="center" vertical="center"/>
    </xf>
    <xf numFmtId="0" fontId="18" fillId="0" borderId="18" xfId="2" applyFont="1" applyFill="1" applyBorder="1" applyAlignment="1">
      <alignment horizontal="center" vertical="center"/>
    </xf>
    <xf numFmtId="0" fontId="18" fillId="2" borderId="0" xfId="2" applyFont="1" applyFill="1" applyAlignment="1">
      <alignment horizontal="center" vertical="center"/>
    </xf>
    <xf numFmtId="0" fontId="18" fillId="0" borderId="8" xfId="2" applyFont="1" applyFill="1" applyBorder="1" applyAlignment="1">
      <alignment horizontal="center" vertical="center"/>
    </xf>
    <xf numFmtId="0" fontId="18" fillId="4" borderId="9" xfId="2" applyFont="1" applyFill="1" applyBorder="1" applyAlignment="1">
      <alignment horizontal="center" vertical="center"/>
    </xf>
    <xf numFmtId="0" fontId="19" fillId="0" borderId="9" xfId="2" applyFont="1" applyFill="1" applyBorder="1" applyAlignment="1">
      <alignment horizontal="center" vertical="center"/>
    </xf>
    <xf numFmtId="2" fontId="19" fillId="0" borderId="9" xfId="3" applyNumberFormat="1" applyFont="1" applyFill="1" applyBorder="1" applyAlignment="1">
      <alignment horizontal="center" vertical="center"/>
    </xf>
    <xf numFmtId="2" fontId="19" fillId="4" borderId="10" xfId="3" applyNumberFormat="1" applyFont="1" applyFill="1" applyBorder="1" applyAlignment="1">
      <alignment horizontal="center" vertical="center"/>
    </xf>
    <xf numFmtId="0" fontId="19" fillId="0" borderId="18" xfId="2" applyFont="1" applyFill="1" applyBorder="1" applyAlignment="1">
      <alignment horizontal="center" vertical="center"/>
    </xf>
    <xf numFmtId="0" fontId="18" fillId="4" borderId="0" xfId="2" applyFont="1" applyFill="1" applyAlignment="1">
      <alignment horizontal="center" vertical="center"/>
    </xf>
    <xf numFmtId="0" fontId="19" fillId="0" borderId="3" xfId="2" applyFont="1" applyFill="1" applyBorder="1" applyAlignment="1">
      <alignment horizontal="center" vertical="center"/>
    </xf>
    <xf numFmtId="0" fontId="18" fillId="6" borderId="0" xfId="2" applyFont="1" applyFill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19" fillId="6" borderId="1" xfId="2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/>
    </xf>
    <xf numFmtId="1" fontId="19" fillId="6" borderId="7" xfId="2" applyNumberFormat="1" applyFont="1" applyFill="1" applyBorder="1" applyAlignment="1">
      <alignment horizontal="center" vertical="center"/>
    </xf>
    <xf numFmtId="0" fontId="19" fillId="4" borderId="1" xfId="2" applyFont="1" applyFill="1" applyBorder="1" applyAlignment="1">
      <alignment horizontal="center" vertical="center"/>
    </xf>
    <xf numFmtId="2" fontId="19" fillId="0" borderId="1" xfId="2" applyNumberFormat="1" applyFont="1" applyFill="1" applyBorder="1" applyAlignment="1">
      <alignment horizontal="center" vertical="center"/>
    </xf>
    <xf numFmtId="2" fontId="19" fillId="4" borderId="7" xfId="3" applyNumberFormat="1" applyFont="1" applyFill="1" applyBorder="1" applyAlignment="1">
      <alignment horizontal="center" vertical="center"/>
    </xf>
    <xf numFmtId="2" fontId="19" fillId="4" borderId="7" xfId="2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0" fontId="19" fillId="0" borderId="1" xfId="2" applyNumberFormat="1" applyFont="1" applyFill="1" applyBorder="1" applyAlignment="1">
      <alignment horizontal="center" vertical="center"/>
    </xf>
    <xf numFmtId="10" fontId="19" fillId="4" borderId="7" xfId="2" applyNumberFormat="1" applyFont="1" applyFill="1" applyBorder="1" applyAlignment="1">
      <alignment horizontal="center" vertical="center"/>
    </xf>
    <xf numFmtId="0" fontId="19" fillId="0" borderId="12" xfId="2" applyFont="1" applyFill="1" applyBorder="1" applyAlignment="1">
      <alignment horizontal="center" vertical="center"/>
    </xf>
    <xf numFmtId="0" fontId="19" fillId="5" borderId="1" xfId="2" applyFont="1" applyFill="1" applyBorder="1" applyAlignment="1">
      <alignment horizontal="center" vertical="center"/>
    </xf>
    <xf numFmtId="179" fontId="19" fillId="0" borderId="1" xfId="2" applyNumberFormat="1" applyFont="1" applyFill="1" applyBorder="1" applyAlignment="1">
      <alignment horizontal="center" vertical="center"/>
    </xf>
    <xf numFmtId="179" fontId="19" fillId="5" borderId="7" xfId="2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center" vertical="center"/>
    </xf>
    <xf numFmtId="0" fontId="19" fillId="4" borderId="9" xfId="2" applyFont="1" applyFill="1" applyBorder="1" applyAlignment="1">
      <alignment horizontal="center" vertical="center"/>
    </xf>
    <xf numFmtId="180" fontId="19" fillId="0" borderId="9" xfId="2" applyNumberFormat="1" applyFont="1" applyFill="1" applyBorder="1" applyAlignment="1">
      <alignment horizontal="center" vertical="center"/>
    </xf>
    <xf numFmtId="180" fontId="19" fillId="4" borderId="10" xfId="2" applyNumberFormat="1" applyFont="1" applyFill="1" applyBorder="1" applyAlignment="1">
      <alignment horizontal="center" vertical="center"/>
    </xf>
    <xf numFmtId="0" fontId="19" fillId="0" borderId="15" xfId="2" applyFont="1" applyFill="1" applyBorder="1" applyAlignment="1">
      <alignment horizontal="center" vertical="center"/>
    </xf>
    <xf numFmtId="0" fontId="19" fillId="4" borderId="16" xfId="2" applyFont="1" applyFill="1" applyBorder="1" applyAlignment="1">
      <alignment horizontal="center" vertical="center"/>
    </xf>
    <xf numFmtId="179" fontId="19" fillId="0" borderId="16" xfId="2" applyNumberFormat="1" applyFont="1" applyFill="1" applyBorder="1" applyAlignment="1">
      <alignment horizontal="center" vertical="center"/>
    </xf>
    <xf numFmtId="179" fontId="19" fillId="4" borderId="17" xfId="2" applyNumberFormat="1" applyFont="1" applyFill="1" applyBorder="1" applyAlignment="1">
      <alignment horizontal="center" vertical="center"/>
    </xf>
    <xf numFmtId="0" fontId="19" fillId="0" borderId="3" xfId="2" applyFont="1" applyBorder="1" applyAlignment="1">
      <alignment horizontal="center" vertical="center" textRotation="255"/>
    </xf>
    <xf numFmtId="0" fontId="19" fillId="4" borderId="4" xfId="2" applyFont="1" applyFill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19" fillId="0" borderId="4" xfId="2" applyFont="1" applyFill="1" applyBorder="1" applyAlignment="1">
      <alignment horizontal="center" vertical="center"/>
    </xf>
    <xf numFmtId="1" fontId="19" fillId="4" borderId="5" xfId="2" applyNumberFormat="1" applyFont="1" applyFill="1" applyBorder="1" applyAlignment="1">
      <alignment horizontal="center" vertical="center"/>
    </xf>
    <xf numFmtId="0" fontId="18" fillId="0" borderId="0" xfId="2" applyFont="1">
      <alignment vertical="center"/>
    </xf>
    <xf numFmtId="0" fontId="19" fillId="0" borderId="6" xfId="2" applyFont="1" applyBorder="1" applyAlignment="1">
      <alignment horizontal="center" vertical="center" textRotation="255"/>
    </xf>
    <xf numFmtId="0" fontId="19" fillId="0" borderId="1" xfId="2" applyFont="1" applyBorder="1" applyAlignment="1">
      <alignment horizontal="center" vertical="center"/>
    </xf>
    <xf numFmtId="0" fontId="19" fillId="6" borderId="7" xfId="2" applyFont="1" applyFill="1" applyBorder="1" applyAlignment="1">
      <alignment horizontal="center" vertical="center"/>
    </xf>
    <xf numFmtId="0" fontId="19" fillId="0" borderId="7" xfId="2" applyFont="1" applyFill="1" applyBorder="1" applyAlignment="1">
      <alignment horizontal="center" vertical="center"/>
    </xf>
    <xf numFmtId="1" fontId="19" fillId="4" borderId="7" xfId="2" applyNumberFormat="1" applyFont="1" applyFill="1" applyBorder="1" applyAlignment="1">
      <alignment horizontal="center" vertical="center"/>
    </xf>
    <xf numFmtId="0" fontId="1" fillId="0" borderId="6" xfId="2" applyBorder="1" applyAlignment="1">
      <alignment horizontal="center" vertical="center" textRotation="255"/>
    </xf>
    <xf numFmtId="0" fontId="19" fillId="2" borderId="1" xfId="2" applyFont="1" applyFill="1" applyBorder="1" applyAlignment="1">
      <alignment horizontal="center" vertical="center"/>
    </xf>
    <xf numFmtId="2" fontId="19" fillId="0" borderId="1" xfId="2" applyNumberFormat="1" applyFont="1" applyBorder="1" applyAlignment="1">
      <alignment horizontal="center" vertical="center"/>
    </xf>
    <xf numFmtId="2" fontId="19" fillId="2" borderId="7" xfId="2" applyNumberFormat="1" applyFont="1" applyFill="1" applyBorder="1" applyAlignment="1">
      <alignment horizontal="center" vertical="center"/>
    </xf>
    <xf numFmtId="0" fontId="1" fillId="0" borderId="8" xfId="2" applyBorder="1" applyAlignment="1">
      <alignment horizontal="center" vertical="center" textRotation="255"/>
    </xf>
    <xf numFmtId="0" fontId="19" fillId="2" borderId="9" xfId="2" applyFont="1" applyFill="1" applyBorder="1" applyAlignment="1">
      <alignment horizontal="center" vertical="center"/>
    </xf>
    <xf numFmtId="10" fontId="19" fillId="0" borderId="9" xfId="3" applyNumberFormat="1" applyFont="1" applyBorder="1" applyAlignment="1">
      <alignment horizontal="center" vertical="center"/>
    </xf>
    <xf numFmtId="10" fontId="19" fillId="2" borderId="10" xfId="3" applyNumberFormat="1" applyFont="1" applyFill="1" applyBorder="1" applyAlignment="1">
      <alignment horizontal="center" vertical="center"/>
    </xf>
    <xf numFmtId="0" fontId="19" fillId="0" borderId="11" xfId="2" applyFont="1" applyBorder="1" applyAlignment="1">
      <alignment horizontal="center" vertical="center" textRotation="255"/>
    </xf>
    <xf numFmtId="0" fontId="19" fillId="0" borderId="5" xfId="2" applyFont="1" applyFill="1" applyBorder="1" applyAlignment="1">
      <alignment horizontal="center" vertical="center"/>
    </xf>
    <xf numFmtId="0" fontId="19" fillId="0" borderId="12" xfId="2" applyFont="1" applyBorder="1" applyAlignment="1">
      <alignment horizontal="center" vertical="center" textRotation="255"/>
    </xf>
    <xf numFmtId="0" fontId="19" fillId="0" borderId="13" xfId="2" applyFont="1" applyBorder="1" applyAlignment="1">
      <alignment horizontal="center" vertical="center" textRotation="255"/>
    </xf>
    <xf numFmtId="0" fontId="19" fillId="0" borderId="9" xfId="2" applyFont="1" applyBorder="1" applyAlignment="1">
      <alignment horizontal="center" vertical="center"/>
    </xf>
    <xf numFmtId="0" fontId="19" fillId="0" borderId="10" xfId="2" applyFont="1" applyFill="1" applyBorder="1" applyAlignment="1">
      <alignment horizontal="center" vertical="center"/>
    </xf>
    <xf numFmtId="0" fontId="19" fillId="0" borderId="3" xfId="2" applyFont="1" applyBorder="1" applyAlignment="1">
      <alignment horizontal="center" vertical="center" textRotation="255" wrapText="1"/>
    </xf>
    <xf numFmtId="0" fontId="19" fillId="4" borderId="5" xfId="2" applyFont="1" applyFill="1" applyBorder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19" fillId="0" borderId="10" xfId="2" applyFont="1" applyBorder="1" applyAlignment="1">
      <alignment horizontal="center" vertical="center"/>
    </xf>
  </cellXfs>
  <cellStyles count="4">
    <cellStyle name="一般" xfId="0" builtinId="0"/>
    <cellStyle name="一般 2 4" xfId="1"/>
    <cellStyle name="一般 37" xfId="2"/>
    <cellStyle name="百分比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72.9.9\&#26032;&#26481;&#38525;\$&#29986;&#21697;&#20107;&#26989;&#32317;&#34389;\$&#29983;&#29986;&#20107;&#26989;&#34389;\$&#24288;&#21209;&#37096;\$&#24037;&#21209;&#35506;\%5b&#37096;&#38272;&#36039;&#26009;&#22846;%5d\&#9733;&#34892;&#25919;&#32068;\&#9734;&#26376;&#22577;KPI\112&#24180;&#26376;&#22577;\112&#24180;12&#263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72.9.9\&#26032;&#26481;&#38525;\Users\760004\Desktop\&#35079;&#26412;%20112&#24180;3&#26376;-&#33021;&#28304;&#27604;&#3661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108~112蒸汽比較"/>
      <sheetName val="107~112躉電費(AB倉)"/>
      <sheetName val="管制費用 (112)"/>
      <sheetName val="111&amp;112比較"/>
      <sheetName val="111&amp;112節能比較表(修改)"/>
      <sheetName val="111&amp;112節能比較表"/>
      <sheetName val="112資本支出 "/>
      <sheetName val="111資本支出"/>
      <sheetName val="11105達成率"/>
      <sheetName val="11212達成率"/>
      <sheetName val="11212各課維修金額"/>
      <sheetName val="KPI附表"/>
      <sheetName val="保養工時 "/>
      <sheetName val="能源"/>
      <sheetName val="環保工安"/>
      <sheetName val="水費查詢"/>
      <sheetName val="月報封面"/>
      <sheetName val="KPI表一"/>
      <sheetName val="燒臘"/>
      <sheetName val="(預算)"/>
      <sheetName val="水抄表(月)修改11201"/>
      <sheetName val="年度能源節約率"/>
    </sheetNames>
    <sheetDataSet>
      <sheetData sheetId="0"/>
      <sheetData sheetId="1"/>
      <sheetData sheetId="2">
        <row r="8">
          <cell r="O8">
            <v>330925</v>
          </cell>
        </row>
        <row r="32">
          <cell r="O32">
            <v>153885</v>
          </cell>
        </row>
      </sheetData>
      <sheetData sheetId="3"/>
      <sheetData sheetId="4">
        <row r="3">
          <cell r="F3">
            <v>603600</v>
          </cell>
          <cell r="G3">
            <v>622000</v>
          </cell>
          <cell r="H3">
            <v>701600</v>
          </cell>
          <cell r="I3">
            <v>813200</v>
          </cell>
          <cell r="J3">
            <v>811600</v>
          </cell>
          <cell r="K3">
            <v>736400</v>
          </cell>
        </row>
        <row r="4">
          <cell r="F4">
            <v>603600</v>
          </cell>
          <cell r="G4">
            <v>622000</v>
          </cell>
          <cell r="H4">
            <v>701600</v>
          </cell>
          <cell r="I4">
            <v>813200</v>
          </cell>
          <cell r="J4">
            <v>811600</v>
          </cell>
          <cell r="K4">
            <v>736400</v>
          </cell>
        </row>
        <row r="5">
          <cell r="F5">
            <v>502000</v>
          </cell>
          <cell r="G5">
            <v>567600</v>
          </cell>
          <cell r="H5">
            <v>645200</v>
          </cell>
          <cell r="I5">
            <v>674800</v>
          </cell>
          <cell r="J5">
            <v>662400</v>
          </cell>
          <cell r="K5">
            <v>651600</v>
          </cell>
          <cell r="L5">
            <v>561200</v>
          </cell>
          <cell r="M5">
            <v>545200</v>
          </cell>
          <cell r="N5">
            <v>522400</v>
          </cell>
          <cell r="O5">
            <v>6739600</v>
          </cell>
        </row>
        <row r="9">
          <cell r="F9">
            <v>1394901</v>
          </cell>
          <cell r="G9">
            <v>1445299</v>
          </cell>
          <cell r="H9">
            <v>2010079</v>
          </cell>
          <cell r="I9">
            <v>2299400</v>
          </cell>
          <cell r="J9">
            <v>2312567</v>
          </cell>
          <cell r="K9">
            <v>2122627</v>
          </cell>
        </row>
        <row r="11">
          <cell r="F11">
            <v>1331415</v>
          </cell>
          <cell r="G11">
            <v>1795706</v>
          </cell>
          <cell r="H11">
            <v>2184589</v>
          </cell>
          <cell r="I11">
            <v>2259237</v>
          </cell>
          <cell r="J11">
            <v>2293483</v>
          </cell>
          <cell r="K11">
            <v>2167632</v>
          </cell>
          <cell r="L11">
            <v>1688637</v>
          </cell>
          <cell r="M11">
            <v>1513775</v>
          </cell>
          <cell r="N11">
            <v>1419536</v>
          </cell>
        </row>
        <row r="12">
          <cell r="F12">
            <v>6671</v>
          </cell>
          <cell r="G12">
            <v>5715</v>
          </cell>
          <cell r="H12">
            <v>5320</v>
          </cell>
          <cell r="I12">
            <v>9980</v>
          </cell>
          <cell r="J12">
            <v>7091</v>
          </cell>
          <cell r="K12">
            <v>6787</v>
          </cell>
        </row>
        <row r="14">
          <cell r="F14">
            <v>5422</v>
          </cell>
          <cell r="G14">
            <v>6419</v>
          </cell>
          <cell r="H14">
            <v>7220</v>
          </cell>
          <cell r="I14">
            <v>7163</v>
          </cell>
          <cell r="J14">
            <v>7191</v>
          </cell>
          <cell r="K14">
            <v>6692</v>
          </cell>
          <cell r="L14">
            <v>6550</v>
          </cell>
          <cell r="M14">
            <v>5147</v>
          </cell>
          <cell r="N14">
            <v>4843</v>
          </cell>
          <cell r="O14">
            <v>74050</v>
          </cell>
        </row>
        <row r="18">
          <cell r="F18">
            <v>81358</v>
          </cell>
          <cell r="G18">
            <v>69814</v>
          </cell>
          <cell r="H18">
            <v>65044</v>
          </cell>
          <cell r="I18">
            <v>121313</v>
          </cell>
          <cell r="J18">
            <v>86429</v>
          </cell>
          <cell r="K18">
            <v>82758</v>
          </cell>
        </row>
        <row r="20">
          <cell r="F20">
            <v>66273</v>
          </cell>
          <cell r="G20">
            <v>78313</v>
          </cell>
          <cell r="H20">
            <v>87984</v>
          </cell>
          <cell r="I20">
            <v>87297</v>
          </cell>
          <cell r="J20">
            <v>87635</v>
          </cell>
          <cell r="K20">
            <v>81609</v>
          </cell>
          <cell r="L20">
            <v>79894</v>
          </cell>
          <cell r="M20">
            <v>62953</v>
          </cell>
          <cell r="N20">
            <v>59283</v>
          </cell>
        </row>
        <row r="21">
          <cell r="I21">
            <v>4379</v>
          </cell>
          <cell r="J21">
            <v>4116</v>
          </cell>
          <cell r="K21">
            <v>2982</v>
          </cell>
        </row>
        <row r="23">
          <cell r="F23">
            <v>4948</v>
          </cell>
          <cell r="H23">
            <v>6423</v>
          </cell>
          <cell r="I23">
            <v>5062</v>
          </cell>
          <cell r="J23">
            <v>6395</v>
          </cell>
          <cell r="K23">
            <v>6076</v>
          </cell>
          <cell r="L23">
            <v>3931</v>
          </cell>
          <cell r="M23">
            <v>5240</v>
          </cell>
          <cell r="N23">
            <v>5373</v>
          </cell>
          <cell r="O23">
            <v>66262</v>
          </cell>
        </row>
        <row r="24">
          <cell r="F24">
            <v>26910</v>
          </cell>
          <cell r="I24">
            <v>17330</v>
          </cell>
          <cell r="J24">
            <v>29960</v>
          </cell>
          <cell r="K24">
            <v>7220</v>
          </cell>
          <cell r="L24">
            <v>14610</v>
          </cell>
          <cell r="M24">
            <v>15680</v>
          </cell>
          <cell r="N24">
            <v>19600</v>
          </cell>
        </row>
        <row r="26">
          <cell r="D26">
            <v>27060</v>
          </cell>
          <cell r="F26">
            <v>8380</v>
          </cell>
          <cell r="I26">
            <v>7620</v>
          </cell>
          <cell r="J26">
            <v>26920</v>
          </cell>
          <cell r="K26">
            <v>8460</v>
          </cell>
          <cell r="L26">
            <v>16800</v>
          </cell>
          <cell r="M26">
            <v>11450</v>
          </cell>
          <cell r="N26">
            <v>7640</v>
          </cell>
        </row>
        <row r="62">
          <cell r="O62">
            <v>24665.02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8~112蒸汽比較"/>
      <sheetName val="107~112躉電費(AB倉)"/>
      <sheetName val="管制費用 (112)"/>
      <sheetName val="111&amp;112比較"/>
      <sheetName val="111&amp;112節能比較表"/>
    </sheetNames>
    <sheetDataSet>
      <sheetData sheetId="0"/>
      <sheetData sheetId="1"/>
      <sheetData sheetId="2"/>
      <sheetData sheetId="3">
        <row r="3">
          <cell r="D3">
            <v>448400</v>
          </cell>
        </row>
        <row r="18">
          <cell r="E18">
            <v>58971</v>
          </cell>
        </row>
        <row r="20">
          <cell r="E20">
            <v>69708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zoomScale="70" zoomScaleNormal="70" workbookViewId="0">
      <pane xSplit="2" ySplit="2" topLeftCell="C3" activePane="bottomRight" state="frozen"/>
      <selection activeCell="J4" sqref="J4"/>
      <selection pane="topRight" activeCell="J4" sqref="J4"/>
      <selection pane="bottomLeft" activeCell="J4" sqref="J4"/>
      <selection pane="bottomRight" activeCell="J4" sqref="J4"/>
    </sheetView>
  </sheetViews>
  <sheetFormatPr defaultColWidth="9" defaultRowHeight="23.1" customHeight="1"/>
  <cols>
    <col min="1" max="1" width="13.25" style="2" customWidth="1"/>
    <col min="2" max="2" width="20.25" style="2" customWidth="1"/>
    <col min="3" max="15" width="14.5" style="2" customWidth="1"/>
    <col min="16" max="16384" width="9" style="2"/>
  </cols>
  <sheetData>
    <row r="1" spans="1:15" ht="40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3.1" customHeight="1" thickBo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 ht="23.1" customHeight="1">
      <c r="A3" s="4" t="s">
        <v>16</v>
      </c>
      <c r="B3" s="5" t="s">
        <v>17</v>
      </c>
      <c r="C3" s="5">
        <v>570800</v>
      </c>
      <c r="D3" s="5">
        <v>448400</v>
      </c>
      <c r="E3" s="5">
        <v>592800</v>
      </c>
      <c r="F3" s="5">
        <f>'[1]111&amp;112比較'!F3</f>
        <v>603600</v>
      </c>
      <c r="G3" s="5">
        <f>'[1]111&amp;112比較'!G3</f>
        <v>622000</v>
      </c>
      <c r="H3" s="5">
        <f>'[1]111&amp;112比較'!H3</f>
        <v>701600</v>
      </c>
      <c r="I3" s="5">
        <f>'[1]111&amp;112比較'!I3</f>
        <v>813200</v>
      </c>
      <c r="J3" s="5">
        <f>'[1]111&amp;112比較'!J3</f>
        <v>811600</v>
      </c>
      <c r="K3" s="5">
        <f>'[1]111&amp;112比較'!K3</f>
        <v>736400</v>
      </c>
      <c r="L3" s="5">
        <v>679200</v>
      </c>
      <c r="M3" s="5">
        <v>616800</v>
      </c>
      <c r="N3" s="5">
        <v>549200</v>
      </c>
      <c r="O3" s="6">
        <f t="shared" ref="O3:O4" si="0">SUM(C3:N3)</f>
        <v>7745600</v>
      </c>
    </row>
    <row r="4" spans="1:15" ht="23.1" hidden="1" customHeight="1">
      <c r="A4" s="7"/>
      <c r="B4" s="8"/>
      <c r="C4" s="8">
        <v>570800</v>
      </c>
      <c r="D4" s="8">
        <v>592799</v>
      </c>
      <c r="E4" s="8">
        <v>592800</v>
      </c>
      <c r="F4" s="8">
        <f>'[1]111&amp;112比較'!F4</f>
        <v>603600</v>
      </c>
      <c r="G4" s="8">
        <f>'[1]111&amp;112比較'!G4</f>
        <v>622000</v>
      </c>
      <c r="H4" s="8">
        <f>'[1]111&amp;112比較'!H4</f>
        <v>701600</v>
      </c>
      <c r="I4" s="8">
        <f>'[1]111&amp;112比較'!I4</f>
        <v>813200</v>
      </c>
      <c r="J4" s="8">
        <f>'[1]111&amp;112比較'!J4</f>
        <v>811600</v>
      </c>
      <c r="K4" s="8">
        <f>'[1]111&amp;112比較'!K4</f>
        <v>736400</v>
      </c>
      <c r="L4" s="8">
        <v>679200</v>
      </c>
      <c r="M4" s="8">
        <v>616800</v>
      </c>
      <c r="N4" s="8">
        <v>549200</v>
      </c>
      <c r="O4" s="9">
        <f t="shared" si="0"/>
        <v>7889999</v>
      </c>
    </row>
    <row r="5" spans="1:15" ht="23.1" customHeight="1">
      <c r="A5" s="7"/>
      <c r="B5" s="10" t="s">
        <v>18</v>
      </c>
      <c r="C5" s="10">
        <v>482400</v>
      </c>
      <c r="D5" s="10">
        <v>428800</v>
      </c>
      <c r="E5" s="10">
        <v>496000</v>
      </c>
      <c r="F5" s="10">
        <f>'[1]111&amp;112比較'!F5</f>
        <v>502000</v>
      </c>
      <c r="G5" s="10">
        <f>'[1]111&amp;112比較'!G5</f>
        <v>567600</v>
      </c>
      <c r="H5" s="10">
        <f>'[1]111&amp;112比較'!H5</f>
        <v>645200</v>
      </c>
      <c r="I5" s="10">
        <f>'[1]111&amp;112比較'!I5</f>
        <v>674800</v>
      </c>
      <c r="J5" s="10">
        <f>'[1]111&amp;112比較'!J5</f>
        <v>662400</v>
      </c>
      <c r="K5" s="10">
        <f>'[1]111&amp;112比較'!K5</f>
        <v>651600</v>
      </c>
      <c r="L5" s="10">
        <f>'[1]111&amp;112比較'!L5</f>
        <v>561200</v>
      </c>
      <c r="M5" s="10">
        <f>'[1]111&amp;112比較'!M5</f>
        <v>545200</v>
      </c>
      <c r="N5" s="10">
        <f>'[1]111&amp;112比較'!N5</f>
        <v>522400</v>
      </c>
      <c r="O5" s="11">
        <f>SUM(C5:N5)</f>
        <v>6739600</v>
      </c>
    </row>
    <row r="6" spans="1:15" ht="23.1" customHeight="1">
      <c r="A6" s="7"/>
      <c r="B6" s="12" t="s">
        <v>19</v>
      </c>
      <c r="C6" s="13">
        <f>C5-C3</f>
        <v>-88400</v>
      </c>
      <c r="D6" s="13">
        <f t="shared" ref="D6:N6" si="1">D5-D3</f>
        <v>-19600</v>
      </c>
      <c r="E6" s="13">
        <f t="shared" si="1"/>
        <v>-96800</v>
      </c>
      <c r="F6" s="13">
        <f t="shared" si="1"/>
        <v>-101600</v>
      </c>
      <c r="G6" s="13">
        <f t="shared" si="1"/>
        <v>-54400</v>
      </c>
      <c r="H6" s="13">
        <f t="shared" si="1"/>
        <v>-56400</v>
      </c>
      <c r="I6" s="13">
        <f t="shared" si="1"/>
        <v>-138400</v>
      </c>
      <c r="J6" s="13">
        <f t="shared" si="1"/>
        <v>-149200</v>
      </c>
      <c r="K6" s="13">
        <f t="shared" si="1"/>
        <v>-84800</v>
      </c>
      <c r="L6" s="13">
        <f t="shared" si="1"/>
        <v>-118000</v>
      </c>
      <c r="M6" s="13">
        <f t="shared" si="1"/>
        <v>-71600</v>
      </c>
      <c r="N6" s="13">
        <f t="shared" si="1"/>
        <v>-26800</v>
      </c>
      <c r="O6" s="14">
        <f t="shared" ref="O6" si="2">SUM(C6:N6)</f>
        <v>-1006000</v>
      </c>
    </row>
    <row r="7" spans="1:15" ht="23.1" customHeight="1">
      <c r="A7" s="7"/>
      <c r="B7" s="15" t="s">
        <v>20</v>
      </c>
      <c r="C7" s="16">
        <f>(C6/C3)*100</f>
        <v>-15.487035739313246</v>
      </c>
      <c r="D7" s="16">
        <f t="shared" ref="D7:N7" si="3">(D6/D3)*100</f>
        <v>-4.3710972346119537</v>
      </c>
      <c r="E7" s="16">
        <f t="shared" si="3"/>
        <v>-16.329284750337379</v>
      </c>
      <c r="F7" s="16">
        <f t="shared" si="3"/>
        <v>-16.832339297548046</v>
      </c>
      <c r="G7" s="16">
        <f t="shared" si="3"/>
        <v>-8.745980707395498</v>
      </c>
      <c r="H7" s="16">
        <f t="shared" si="3"/>
        <v>-8.0387685290763962</v>
      </c>
      <c r="I7" s="16">
        <f t="shared" si="3"/>
        <v>-17.019183472700441</v>
      </c>
      <c r="J7" s="16">
        <f t="shared" si="3"/>
        <v>-18.38344011828487</v>
      </c>
      <c r="K7" s="16">
        <f t="shared" si="3"/>
        <v>-11.51548071700163</v>
      </c>
      <c r="L7" s="16">
        <f t="shared" si="3"/>
        <v>-17.373380447585397</v>
      </c>
      <c r="M7" s="16">
        <f t="shared" si="3"/>
        <v>-11.608300907911802</v>
      </c>
      <c r="N7" s="16">
        <f t="shared" si="3"/>
        <v>-4.8798252002913332</v>
      </c>
      <c r="O7" s="17">
        <f>(O6/O3)*100</f>
        <v>-12.988019004337946</v>
      </c>
    </row>
    <row r="8" spans="1:15" ht="23.1" customHeight="1">
      <c r="A8" s="7"/>
      <c r="B8" s="10" t="s">
        <v>21</v>
      </c>
      <c r="C8" s="10">
        <v>1345381</v>
      </c>
      <c r="D8" s="10">
        <v>1064751</v>
      </c>
      <c r="E8" s="10">
        <v>1424991</v>
      </c>
      <c r="F8" s="10">
        <f>'[1]111&amp;112比較'!F9</f>
        <v>1394901</v>
      </c>
      <c r="G8" s="10">
        <f>'[1]111&amp;112比較'!G9</f>
        <v>1445299</v>
      </c>
      <c r="H8" s="10">
        <f>'[1]111&amp;112比較'!H9</f>
        <v>2010079</v>
      </c>
      <c r="I8" s="10">
        <f>'[1]111&amp;112比較'!I9</f>
        <v>2299400</v>
      </c>
      <c r="J8" s="10">
        <f>'[1]111&amp;112比較'!J9</f>
        <v>2312567</v>
      </c>
      <c r="K8" s="10">
        <f>'[1]111&amp;112比較'!K9</f>
        <v>2122627</v>
      </c>
      <c r="L8" s="10">
        <v>1463240</v>
      </c>
      <c r="M8" s="10">
        <v>1473767</v>
      </c>
      <c r="N8" s="10">
        <v>1331420</v>
      </c>
      <c r="O8" s="11">
        <f t="shared" ref="O8:O14" si="4">SUM(C8:N8)</f>
        <v>19688423</v>
      </c>
    </row>
    <row r="9" spans="1:15" ht="23.1" hidden="1" customHeight="1">
      <c r="A9" s="7"/>
      <c r="B9" s="8"/>
      <c r="C9" s="8">
        <v>1345381</v>
      </c>
      <c r="D9" s="8">
        <v>1424990</v>
      </c>
      <c r="E9" s="8">
        <v>1424991</v>
      </c>
      <c r="F9" s="8">
        <f>'[1]111&amp;112比較'!F9</f>
        <v>1394901</v>
      </c>
      <c r="G9" s="8">
        <f>'[1]111&amp;112比較'!G9</f>
        <v>1445299</v>
      </c>
      <c r="H9" s="8">
        <f>'[1]111&amp;112比較'!H9</f>
        <v>2010079</v>
      </c>
      <c r="I9" s="8">
        <f>'[1]111&amp;112比較'!I9</f>
        <v>2299400</v>
      </c>
      <c r="J9" s="8">
        <f>'[1]111&amp;112比較'!J9</f>
        <v>2312567</v>
      </c>
      <c r="K9" s="8">
        <f>'[1]111&amp;112比較'!K9</f>
        <v>2122627</v>
      </c>
      <c r="L9" s="8">
        <v>1463240</v>
      </c>
      <c r="M9" s="8">
        <v>1473767</v>
      </c>
      <c r="N9" s="8">
        <v>1331420</v>
      </c>
      <c r="O9" s="9">
        <f t="shared" si="4"/>
        <v>20048662</v>
      </c>
    </row>
    <row r="10" spans="1:15" ht="23.1" customHeight="1">
      <c r="A10" s="7"/>
      <c r="B10" s="10" t="s">
        <v>22</v>
      </c>
      <c r="C10" s="10">
        <v>1068945</v>
      </c>
      <c r="D10" s="10">
        <v>1036558</v>
      </c>
      <c r="E10" s="10">
        <v>1193505</v>
      </c>
      <c r="F10" s="10">
        <f>'[1]111&amp;112比較'!F11</f>
        <v>1331415</v>
      </c>
      <c r="G10" s="10">
        <f>'[1]111&amp;112比較'!G11</f>
        <v>1795706</v>
      </c>
      <c r="H10" s="10">
        <f>'[1]111&amp;112比較'!H11</f>
        <v>2184589</v>
      </c>
      <c r="I10" s="10">
        <f>'[1]111&amp;112比較'!I11</f>
        <v>2259237</v>
      </c>
      <c r="J10" s="10">
        <f>'[1]111&amp;112比較'!J11</f>
        <v>2293483</v>
      </c>
      <c r="K10" s="10">
        <f>'[1]111&amp;112比較'!K11</f>
        <v>2167632</v>
      </c>
      <c r="L10" s="10">
        <f>'[1]111&amp;112比較'!L11</f>
        <v>1688637</v>
      </c>
      <c r="M10" s="10">
        <f>'[1]111&amp;112比較'!M11</f>
        <v>1513775</v>
      </c>
      <c r="N10" s="10">
        <f>'[1]111&amp;112比較'!N11</f>
        <v>1419536</v>
      </c>
      <c r="O10" s="11">
        <f t="shared" si="4"/>
        <v>19953018</v>
      </c>
    </row>
    <row r="11" spans="1:15" ht="23.1" customHeight="1" thickBot="1">
      <c r="A11" s="18"/>
      <c r="B11" s="19" t="s">
        <v>19</v>
      </c>
      <c r="C11" s="20">
        <f>C10-C8</f>
        <v>-276436</v>
      </c>
      <c r="D11" s="20">
        <f t="shared" ref="D11:N11" si="5">D10-D8</f>
        <v>-28193</v>
      </c>
      <c r="E11" s="20">
        <f t="shared" si="5"/>
        <v>-231486</v>
      </c>
      <c r="F11" s="20">
        <f t="shared" si="5"/>
        <v>-63486</v>
      </c>
      <c r="G11" s="20">
        <f t="shared" si="5"/>
        <v>350407</v>
      </c>
      <c r="H11" s="20">
        <f t="shared" si="5"/>
        <v>174510</v>
      </c>
      <c r="I11" s="20">
        <f t="shared" si="5"/>
        <v>-40163</v>
      </c>
      <c r="J11" s="20">
        <f t="shared" si="5"/>
        <v>-19084</v>
      </c>
      <c r="K11" s="20">
        <f t="shared" si="5"/>
        <v>45005</v>
      </c>
      <c r="L11" s="20">
        <f t="shared" si="5"/>
        <v>225397</v>
      </c>
      <c r="M11" s="20">
        <f t="shared" si="5"/>
        <v>40008</v>
      </c>
      <c r="N11" s="20">
        <f t="shared" si="5"/>
        <v>88116</v>
      </c>
      <c r="O11" s="21">
        <f t="shared" si="4"/>
        <v>264595</v>
      </c>
    </row>
    <row r="12" spans="1:15" ht="23.1" customHeight="1">
      <c r="A12" s="22" t="s">
        <v>23</v>
      </c>
      <c r="B12" s="5" t="s">
        <v>17</v>
      </c>
      <c r="C12" s="5">
        <v>6804</v>
      </c>
      <c r="D12" s="5">
        <v>5891</v>
      </c>
      <c r="E12" s="5">
        <v>4817</v>
      </c>
      <c r="F12" s="5">
        <f>'[1]111&amp;112比較'!F12</f>
        <v>6671</v>
      </c>
      <c r="G12" s="5">
        <f>'[1]111&amp;112比較'!G12</f>
        <v>5715</v>
      </c>
      <c r="H12" s="5">
        <f>'[1]111&amp;112比較'!H12</f>
        <v>5320</v>
      </c>
      <c r="I12" s="5">
        <f>'[1]111&amp;112比較'!I12</f>
        <v>9980</v>
      </c>
      <c r="J12" s="5">
        <f>'[1]111&amp;112比較'!J12</f>
        <v>7091</v>
      </c>
      <c r="K12" s="5">
        <f>'[1]111&amp;112比較'!K12</f>
        <v>6787</v>
      </c>
      <c r="L12" s="5">
        <v>6276</v>
      </c>
      <c r="M12" s="5">
        <v>6525</v>
      </c>
      <c r="N12" s="5">
        <v>5396</v>
      </c>
      <c r="O12" s="6">
        <f t="shared" si="4"/>
        <v>77273</v>
      </c>
    </row>
    <row r="13" spans="1:15" ht="23.1" hidden="1" customHeight="1">
      <c r="A13" s="23"/>
      <c r="B13" s="8"/>
      <c r="C13" s="8">
        <v>6804</v>
      </c>
      <c r="D13" s="8">
        <v>5891</v>
      </c>
      <c r="E13" s="8">
        <v>5892</v>
      </c>
      <c r="F13" s="8">
        <v>6671</v>
      </c>
      <c r="G13" s="8">
        <v>6672</v>
      </c>
      <c r="H13" s="8">
        <v>6673</v>
      </c>
      <c r="I13" s="8">
        <v>6674</v>
      </c>
      <c r="J13" s="8">
        <v>6675</v>
      </c>
      <c r="K13" s="8">
        <v>6676</v>
      </c>
      <c r="L13" s="8">
        <v>6276</v>
      </c>
      <c r="M13" s="8">
        <v>6525</v>
      </c>
      <c r="N13" s="8">
        <v>5396</v>
      </c>
      <c r="O13" s="9">
        <f t="shared" si="4"/>
        <v>76825</v>
      </c>
    </row>
    <row r="14" spans="1:15" ht="23.1" customHeight="1">
      <c r="A14" s="23"/>
      <c r="B14" s="10" t="s">
        <v>24</v>
      </c>
      <c r="C14" s="10">
        <v>6133</v>
      </c>
      <c r="D14" s="10">
        <v>5561</v>
      </c>
      <c r="E14" s="10">
        <v>5709</v>
      </c>
      <c r="F14" s="10">
        <f>'[1]111&amp;112比較'!F14</f>
        <v>5422</v>
      </c>
      <c r="G14" s="10">
        <f>'[1]111&amp;112比較'!G14</f>
        <v>6419</v>
      </c>
      <c r="H14" s="10">
        <f>'[1]111&amp;112比較'!H14</f>
        <v>7220</v>
      </c>
      <c r="I14" s="10">
        <f>'[1]111&amp;112比較'!I14</f>
        <v>7163</v>
      </c>
      <c r="J14" s="10">
        <f>'[1]111&amp;112比較'!J14</f>
        <v>7191</v>
      </c>
      <c r="K14" s="10">
        <f>'[1]111&amp;112比較'!K14</f>
        <v>6692</v>
      </c>
      <c r="L14" s="10">
        <f>'[1]111&amp;112比較'!L14</f>
        <v>6550</v>
      </c>
      <c r="M14" s="10">
        <f>'[1]111&amp;112比較'!M14</f>
        <v>5147</v>
      </c>
      <c r="N14" s="10">
        <f>'[1]111&amp;112比較'!N14</f>
        <v>4843</v>
      </c>
      <c r="O14" s="11">
        <f t="shared" si="4"/>
        <v>74050</v>
      </c>
    </row>
    <row r="15" spans="1:15" ht="23.1" customHeight="1">
      <c r="A15" s="23"/>
      <c r="B15" s="12" t="s">
        <v>19</v>
      </c>
      <c r="C15" s="13">
        <f>C14-C12</f>
        <v>-671</v>
      </c>
      <c r="D15" s="13">
        <f t="shared" ref="D15:N15" si="6">D14-D12</f>
        <v>-330</v>
      </c>
      <c r="E15" s="13">
        <f t="shared" si="6"/>
        <v>892</v>
      </c>
      <c r="F15" s="13">
        <f t="shared" si="6"/>
        <v>-1249</v>
      </c>
      <c r="G15" s="13">
        <f t="shared" si="6"/>
        <v>704</v>
      </c>
      <c r="H15" s="13">
        <f t="shared" si="6"/>
        <v>1900</v>
      </c>
      <c r="I15" s="13">
        <f t="shared" si="6"/>
        <v>-2817</v>
      </c>
      <c r="J15" s="13">
        <f t="shared" si="6"/>
        <v>100</v>
      </c>
      <c r="K15" s="13">
        <f t="shared" si="6"/>
        <v>-95</v>
      </c>
      <c r="L15" s="13">
        <f t="shared" si="6"/>
        <v>274</v>
      </c>
      <c r="M15" s="13">
        <f t="shared" si="6"/>
        <v>-1378</v>
      </c>
      <c r="N15" s="13">
        <f t="shared" si="6"/>
        <v>-553</v>
      </c>
      <c r="O15" s="14">
        <f t="shared" ref="O15" si="7">SUM(C15:N15)</f>
        <v>-3223</v>
      </c>
    </row>
    <row r="16" spans="1:15" ht="23.1" customHeight="1">
      <c r="A16" s="23"/>
      <c r="B16" s="15" t="s">
        <v>25</v>
      </c>
      <c r="C16" s="16">
        <f t="shared" ref="C16:N16" si="8">(C15/C12)*100</f>
        <v>-9.8618459729570844</v>
      </c>
      <c r="D16" s="16">
        <f t="shared" si="8"/>
        <v>-5.6017654048548629</v>
      </c>
      <c r="E16" s="16">
        <f t="shared" si="8"/>
        <v>18.517749636703343</v>
      </c>
      <c r="F16" s="16">
        <f t="shared" si="8"/>
        <v>-18.722830160395741</v>
      </c>
      <c r="G16" s="16">
        <f t="shared" si="8"/>
        <v>12.318460192475939</v>
      </c>
      <c r="H16" s="16">
        <f t="shared" si="8"/>
        <v>35.714285714285715</v>
      </c>
      <c r="I16" s="16">
        <f t="shared" si="8"/>
        <v>-28.226452905811623</v>
      </c>
      <c r="J16" s="16">
        <f t="shared" si="8"/>
        <v>1.410238330277817</v>
      </c>
      <c r="K16" s="16">
        <f t="shared" si="8"/>
        <v>-1.3997347870929719</v>
      </c>
      <c r="L16" s="16">
        <f t="shared" si="8"/>
        <v>4.3658381134480564</v>
      </c>
      <c r="M16" s="16">
        <f t="shared" si="8"/>
        <v>-21.118773946360154</v>
      </c>
      <c r="N16" s="16">
        <f t="shared" si="8"/>
        <v>-10.248332097850261</v>
      </c>
      <c r="O16" s="17">
        <f>(O15/O12)*100</f>
        <v>-4.170926455553686</v>
      </c>
    </row>
    <row r="17" spans="1:15" ht="23.1" customHeight="1">
      <c r="A17" s="23"/>
      <c r="B17" s="10" t="s">
        <v>26</v>
      </c>
      <c r="C17" s="10">
        <v>82963</v>
      </c>
      <c r="D17" s="10">
        <v>71939</v>
      </c>
      <c r="E17" s="10">
        <f>'[2]111&amp;112比較'!E18</f>
        <v>58971</v>
      </c>
      <c r="F17" s="10">
        <f>'[1]111&amp;112比較'!F18</f>
        <v>81358</v>
      </c>
      <c r="G17" s="10">
        <f>'[1]111&amp;112比較'!G18</f>
        <v>69814</v>
      </c>
      <c r="H17" s="10">
        <f>'[1]111&amp;112比較'!H18</f>
        <v>65044</v>
      </c>
      <c r="I17" s="10">
        <f>'[1]111&amp;112比較'!I18</f>
        <v>121313</v>
      </c>
      <c r="J17" s="10">
        <f>'[1]111&amp;112比較'!J18</f>
        <v>86429</v>
      </c>
      <c r="K17" s="10">
        <f>'[1]111&amp;112比較'!K18</f>
        <v>82758</v>
      </c>
      <c r="L17" s="10">
        <v>76587</v>
      </c>
      <c r="M17" s="10">
        <v>79595</v>
      </c>
      <c r="N17" s="10">
        <v>65959</v>
      </c>
      <c r="O17" s="11">
        <f t="shared" ref="O17:O31" si="9">SUM(C17:N17)</f>
        <v>942730</v>
      </c>
    </row>
    <row r="18" spans="1:15" ht="23.1" hidden="1" customHeight="1">
      <c r="A18" s="23"/>
      <c r="B18" s="8"/>
      <c r="C18" s="8">
        <v>82963</v>
      </c>
      <c r="D18" s="8">
        <v>71939</v>
      </c>
      <c r="E18" s="8">
        <v>71940</v>
      </c>
      <c r="F18" s="8">
        <f t="shared" ref="F18:K18" si="10">85234-3876</f>
        <v>81358</v>
      </c>
      <c r="G18" s="8">
        <f t="shared" si="10"/>
        <v>81358</v>
      </c>
      <c r="H18" s="8">
        <f t="shared" si="10"/>
        <v>81358</v>
      </c>
      <c r="I18" s="8">
        <f t="shared" si="10"/>
        <v>81358</v>
      </c>
      <c r="J18" s="8">
        <f t="shared" si="10"/>
        <v>81358</v>
      </c>
      <c r="K18" s="8">
        <f t="shared" si="10"/>
        <v>81358</v>
      </c>
      <c r="L18" s="8">
        <v>76587</v>
      </c>
      <c r="M18" s="8">
        <v>79595</v>
      </c>
      <c r="N18" s="8">
        <v>65959</v>
      </c>
      <c r="O18" s="9">
        <f t="shared" si="9"/>
        <v>937131</v>
      </c>
    </row>
    <row r="19" spans="1:15" ht="23.1" customHeight="1">
      <c r="A19" s="23"/>
      <c r="B19" s="10" t="s">
        <v>27</v>
      </c>
      <c r="C19" s="10">
        <f>78426-3567</f>
        <v>74859</v>
      </c>
      <c r="D19" s="10">
        <v>67952</v>
      </c>
      <c r="E19" s="10">
        <f>'[2]111&amp;112比較'!E20</f>
        <v>69708</v>
      </c>
      <c r="F19" s="10">
        <f>'[1]111&amp;112比較'!F20</f>
        <v>66273</v>
      </c>
      <c r="G19" s="10">
        <f>'[1]111&amp;112比較'!G20</f>
        <v>78313</v>
      </c>
      <c r="H19" s="10">
        <f>'[1]111&amp;112比較'!H20</f>
        <v>87984</v>
      </c>
      <c r="I19" s="10">
        <f>'[1]111&amp;112比較'!I20</f>
        <v>87297</v>
      </c>
      <c r="J19" s="10">
        <f>'[1]111&amp;112比較'!J20</f>
        <v>87635</v>
      </c>
      <c r="K19" s="10">
        <f>'[1]111&amp;112比較'!K20</f>
        <v>81609</v>
      </c>
      <c r="L19" s="10">
        <f>'[1]111&amp;112比較'!L20</f>
        <v>79894</v>
      </c>
      <c r="M19" s="10">
        <f>'[1]111&amp;112比較'!M20</f>
        <v>62953</v>
      </c>
      <c r="N19" s="10">
        <f>'[1]111&amp;112比較'!N20</f>
        <v>59283</v>
      </c>
      <c r="O19" s="11">
        <f t="shared" si="9"/>
        <v>903760</v>
      </c>
    </row>
    <row r="20" spans="1:15" ht="23.1" customHeight="1" thickBot="1">
      <c r="A20" s="24"/>
      <c r="B20" s="25" t="s">
        <v>19</v>
      </c>
      <c r="C20" s="20">
        <f>C19-C17</f>
        <v>-8104</v>
      </c>
      <c r="D20" s="20">
        <f t="shared" ref="D20:N20" si="11">D19-D17</f>
        <v>-3987</v>
      </c>
      <c r="E20" s="20">
        <f t="shared" si="11"/>
        <v>10737</v>
      </c>
      <c r="F20" s="20">
        <f t="shared" si="11"/>
        <v>-15085</v>
      </c>
      <c r="G20" s="20">
        <f t="shared" si="11"/>
        <v>8499</v>
      </c>
      <c r="H20" s="20">
        <f t="shared" si="11"/>
        <v>22940</v>
      </c>
      <c r="I20" s="20">
        <f t="shared" si="11"/>
        <v>-34016</v>
      </c>
      <c r="J20" s="20">
        <f t="shared" si="11"/>
        <v>1206</v>
      </c>
      <c r="K20" s="20">
        <f t="shared" si="11"/>
        <v>-1149</v>
      </c>
      <c r="L20" s="20">
        <f t="shared" si="11"/>
        <v>3307</v>
      </c>
      <c r="M20" s="20">
        <f t="shared" si="11"/>
        <v>-16642</v>
      </c>
      <c r="N20" s="20">
        <f t="shared" si="11"/>
        <v>-6676</v>
      </c>
      <c r="O20" s="21">
        <f t="shared" si="9"/>
        <v>-38970</v>
      </c>
    </row>
    <row r="21" spans="1:15" ht="23.1" customHeight="1">
      <c r="A21" s="22" t="s">
        <v>28</v>
      </c>
      <c r="B21" s="5" t="s">
        <v>29</v>
      </c>
      <c r="C21" s="5">
        <v>4226</v>
      </c>
      <c r="D21" s="5">
        <v>3776</v>
      </c>
      <c r="E21" s="5">
        <v>2939</v>
      </c>
      <c r="F21" s="5">
        <v>3462</v>
      </c>
      <c r="G21" s="5">
        <v>3175</v>
      </c>
      <c r="H21" s="5">
        <v>2670</v>
      </c>
      <c r="I21" s="5">
        <f>'[1]111&amp;112比較'!I21</f>
        <v>4379</v>
      </c>
      <c r="J21" s="5">
        <f>'[1]111&amp;112比較'!J21</f>
        <v>4116</v>
      </c>
      <c r="K21" s="5">
        <f>'[1]111&amp;112比較'!K21</f>
        <v>2982</v>
      </c>
      <c r="L21" s="5">
        <v>2861</v>
      </c>
      <c r="M21" s="5">
        <v>3647</v>
      </c>
      <c r="N21" s="26">
        <v>3589</v>
      </c>
      <c r="O21" s="6">
        <f>SUM(C21:N21)</f>
        <v>41822</v>
      </c>
    </row>
    <row r="22" spans="1:15" ht="23.1" hidden="1" customHeight="1">
      <c r="A22" s="23"/>
      <c r="B22" s="8"/>
      <c r="C22" s="27">
        <v>4226</v>
      </c>
      <c r="D22" s="27">
        <v>3776</v>
      </c>
      <c r="E22" s="27">
        <v>2939</v>
      </c>
      <c r="F22" s="27">
        <v>3462</v>
      </c>
      <c r="G22" s="27">
        <v>3175</v>
      </c>
      <c r="H22" s="27">
        <v>2670</v>
      </c>
      <c r="I22" s="27">
        <v>2670</v>
      </c>
      <c r="J22" s="27">
        <v>2671</v>
      </c>
      <c r="K22" s="27">
        <v>2672</v>
      </c>
      <c r="L22" s="27">
        <v>2861</v>
      </c>
      <c r="M22" s="27">
        <v>3647</v>
      </c>
      <c r="N22" s="27">
        <v>3589</v>
      </c>
      <c r="O22" s="11">
        <f>SUM(C22:N22)</f>
        <v>38358</v>
      </c>
    </row>
    <row r="23" spans="1:15" ht="23.1" customHeight="1">
      <c r="A23" s="23"/>
      <c r="B23" s="10" t="s">
        <v>24</v>
      </c>
      <c r="C23" s="10">
        <v>6462</v>
      </c>
      <c r="D23" s="10">
        <v>3498</v>
      </c>
      <c r="E23" s="10">
        <v>6131</v>
      </c>
      <c r="F23" s="10">
        <f>'[1]111&amp;112比較'!F23</f>
        <v>4948</v>
      </c>
      <c r="G23" s="10">
        <v>6723</v>
      </c>
      <c r="H23" s="10">
        <f>'[1]111&amp;112比較'!H23</f>
        <v>6423</v>
      </c>
      <c r="I23" s="10">
        <f>'[1]111&amp;112比較'!I23</f>
        <v>5062</v>
      </c>
      <c r="J23" s="10">
        <f>'[1]111&amp;112比較'!J23</f>
        <v>6395</v>
      </c>
      <c r="K23" s="10">
        <f>'[1]111&amp;112比較'!K23</f>
        <v>6076</v>
      </c>
      <c r="L23" s="10">
        <f>'[1]111&amp;112比較'!L23</f>
        <v>3931</v>
      </c>
      <c r="M23" s="10">
        <f>'[1]111&amp;112比較'!M23</f>
        <v>5240</v>
      </c>
      <c r="N23" s="10">
        <f>'[1]111&amp;112比較'!N23</f>
        <v>5373</v>
      </c>
      <c r="O23" s="11">
        <f>SUM(C23:N23)</f>
        <v>66262</v>
      </c>
    </row>
    <row r="24" spans="1:15" ht="23.1" customHeight="1">
      <c r="A24" s="23"/>
      <c r="B24" s="12" t="s">
        <v>19</v>
      </c>
      <c r="C24" s="13">
        <f>C23-C21</f>
        <v>2236</v>
      </c>
      <c r="D24" s="13">
        <f t="shared" ref="D24:N24" si="12">D23-D21</f>
        <v>-278</v>
      </c>
      <c r="E24" s="13">
        <f t="shared" si="12"/>
        <v>3192</v>
      </c>
      <c r="F24" s="13">
        <f t="shared" si="12"/>
        <v>1486</v>
      </c>
      <c r="G24" s="13">
        <f t="shared" si="12"/>
        <v>3548</v>
      </c>
      <c r="H24" s="13">
        <f t="shared" si="12"/>
        <v>3753</v>
      </c>
      <c r="I24" s="13">
        <f t="shared" si="12"/>
        <v>683</v>
      </c>
      <c r="J24" s="13">
        <f t="shared" si="12"/>
        <v>2279</v>
      </c>
      <c r="K24" s="13">
        <f t="shared" si="12"/>
        <v>3094</v>
      </c>
      <c r="L24" s="13">
        <f t="shared" si="12"/>
        <v>1070</v>
      </c>
      <c r="M24" s="13">
        <f t="shared" si="12"/>
        <v>1593</v>
      </c>
      <c r="N24" s="13">
        <f t="shared" si="12"/>
        <v>1784</v>
      </c>
      <c r="O24" s="14">
        <f t="shared" ref="O24" si="13">SUM(C24:N24)</f>
        <v>24440</v>
      </c>
    </row>
    <row r="25" spans="1:15" ht="23.1" customHeight="1">
      <c r="A25" s="23"/>
      <c r="B25" s="15" t="s">
        <v>30</v>
      </c>
      <c r="C25" s="16">
        <f>(C24/C21)*100</f>
        <v>52.910553715097016</v>
      </c>
      <c r="D25" s="16">
        <f t="shared" ref="D25:N25" si="14">(D24/D21)*100</f>
        <v>-7.3622881355932197</v>
      </c>
      <c r="E25" s="16">
        <f t="shared" si="14"/>
        <v>108.60837019394351</v>
      </c>
      <c r="F25" s="16">
        <f t="shared" si="14"/>
        <v>42.923165800115541</v>
      </c>
      <c r="G25" s="16">
        <f t="shared" si="14"/>
        <v>111.74803149606298</v>
      </c>
      <c r="H25" s="16">
        <f t="shared" si="14"/>
        <v>140.56179775280899</v>
      </c>
      <c r="I25" s="16">
        <f t="shared" si="14"/>
        <v>15.597168303265585</v>
      </c>
      <c r="J25" s="16">
        <f t="shared" si="14"/>
        <v>55.369290573372211</v>
      </c>
      <c r="K25" s="16">
        <f t="shared" si="14"/>
        <v>103.75586854460094</v>
      </c>
      <c r="L25" s="16">
        <f t="shared" si="14"/>
        <v>37.399510660608179</v>
      </c>
      <c r="M25" s="16">
        <f t="shared" si="14"/>
        <v>43.679736769947901</v>
      </c>
      <c r="N25" s="16">
        <f t="shared" si="14"/>
        <v>49.707439398161043</v>
      </c>
      <c r="O25" s="17">
        <f>(O24/O21)*100</f>
        <v>58.438142604370903</v>
      </c>
    </row>
    <row r="26" spans="1:15" ht="23.1" customHeight="1">
      <c r="A26" s="23"/>
      <c r="B26" s="10" t="s">
        <v>31</v>
      </c>
      <c r="C26" s="10">
        <v>101970</v>
      </c>
      <c r="D26" s="10">
        <v>50796</v>
      </c>
      <c r="E26" s="10">
        <v>44764</v>
      </c>
      <c r="F26" s="10">
        <v>46720</v>
      </c>
      <c r="G26" s="10">
        <v>55030</v>
      </c>
      <c r="H26" s="10">
        <v>40449</v>
      </c>
      <c r="I26" s="10">
        <v>81405</v>
      </c>
      <c r="J26" s="10">
        <v>40449</v>
      </c>
      <c r="K26" s="10">
        <v>55537</v>
      </c>
      <c r="L26" s="10">
        <v>52382</v>
      </c>
      <c r="M26" s="10">
        <v>51151</v>
      </c>
      <c r="N26" s="10">
        <v>52443</v>
      </c>
      <c r="O26" s="11">
        <f>SUM(C26:N26)</f>
        <v>673096</v>
      </c>
    </row>
    <row r="27" spans="1:15" ht="23.1" hidden="1" customHeight="1">
      <c r="A27" s="23"/>
      <c r="B27" s="8"/>
      <c r="C27" s="8">
        <v>101970</v>
      </c>
      <c r="D27" s="8">
        <v>50796</v>
      </c>
      <c r="E27" s="8">
        <v>44764</v>
      </c>
      <c r="F27" s="8">
        <v>46720</v>
      </c>
      <c r="G27" s="8">
        <v>55030</v>
      </c>
      <c r="H27" s="8">
        <v>40449</v>
      </c>
      <c r="I27" s="8">
        <v>40449</v>
      </c>
      <c r="J27" s="8">
        <v>40449</v>
      </c>
      <c r="K27" s="28">
        <v>55537</v>
      </c>
      <c r="L27" s="8">
        <v>52382</v>
      </c>
      <c r="M27" s="8">
        <v>51151</v>
      </c>
      <c r="N27" s="8">
        <v>52443</v>
      </c>
      <c r="O27" s="11">
        <f>SUM(C27:N27)</f>
        <v>632140</v>
      </c>
    </row>
    <row r="28" spans="1:15" ht="23.1" customHeight="1">
      <c r="A28" s="23"/>
      <c r="B28" s="10" t="s">
        <v>32</v>
      </c>
      <c r="C28" s="10">
        <v>89507</v>
      </c>
      <c r="D28" s="10">
        <v>47421</v>
      </c>
      <c r="E28" s="10">
        <v>77648</v>
      </c>
      <c r="F28" s="10">
        <v>66786</v>
      </c>
      <c r="G28" s="10">
        <v>100618</v>
      </c>
      <c r="H28" s="10">
        <v>81102</v>
      </c>
      <c r="I28" s="10">
        <v>71417</v>
      </c>
      <c r="J28" s="10">
        <v>86397</v>
      </c>
      <c r="K28" s="10">
        <v>77477</v>
      </c>
      <c r="L28" s="10">
        <v>49631</v>
      </c>
      <c r="M28" s="10">
        <v>76412</v>
      </c>
      <c r="N28" s="10">
        <v>74168</v>
      </c>
      <c r="O28" s="11">
        <f>SUM(C28:N28)</f>
        <v>898584</v>
      </c>
    </row>
    <row r="29" spans="1:15" ht="23.1" customHeight="1" thickBot="1">
      <c r="A29" s="24"/>
      <c r="B29" s="25" t="s">
        <v>19</v>
      </c>
      <c r="C29" s="20">
        <f>C28-C26</f>
        <v>-12463</v>
      </c>
      <c r="D29" s="20">
        <f t="shared" ref="D29:N29" si="15">D28-D26</f>
        <v>-3375</v>
      </c>
      <c r="E29" s="20">
        <f t="shared" si="15"/>
        <v>32884</v>
      </c>
      <c r="F29" s="20">
        <f t="shared" si="15"/>
        <v>20066</v>
      </c>
      <c r="G29" s="20">
        <f t="shared" si="15"/>
        <v>45588</v>
      </c>
      <c r="H29" s="20">
        <f t="shared" si="15"/>
        <v>40653</v>
      </c>
      <c r="I29" s="20">
        <f t="shared" si="15"/>
        <v>-9988</v>
      </c>
      <c r="J29" s="20">
        <f t="shared" si="15"/>
        <v>45948</v>
      </c>
      <c r="K29" s="20">
        <f t="shared" si="15"/>
        <v>21940</v>
      </c>
      <c r="L29" s="20">
        <f t="shared" si="15"/>
        <v>-2751</v>
      </c>
      <c r="M29" s="20">
        <f t="shared" si="15"/>
        <v>25261</v>
      </c>
      <c r="N29" s="20">
        <f t="shared" si="15"/>
        <v>21725</v>
      </c>
      <c r="O29" s="21">
        <f t="shared" si="9"/>
        <v>225488</v>
      </c>
    </row>
    <row r="30" spans="1:15" ht="23.1" customHeight="1">
      <c r="A30" s="22" t="s">
        <v>33</v>
      </c>
      <c r="B30" s="5" t="s">
        <v>29</v>
      </c>
      <c r="C30" s="5">
        <v>15450</v>
      </c>
      <c r="D30" s="5">
        <v>13350</v>
      </c>
      <c r="E30" s="5">
        <v>23510</v>
      </c>
      <c r="F30" s="5">
        <f>'[1]111&amp;112比較'!F24</f>
        <v>26910</v>
      </c>
      <c r="G30" s="5">
        <v>19220</v>
      </c>
      <c r="H30" s="5">
        <v>5960</v>
      </c>
      <c r="I30" s="5">
        <f>'[1]111&amp;112比較'!I24</f>
        <v>17330</v>
      </c>
      <c r="J30" s="5">
        <f>'[1]111&amp;112比較'!J24</f>
        <v>29960</v>
      </c>
      <c r="K30" s="5">
        <f>'[1]111&amp;112比較'!K24</f>
        <v>7220</v>
      </c>
      <c r="L30" s="5">
        <f>'[1]111&amp;112比較'!L24</f>
        <v>14610</v>
      </c>
      <c r="M30" s="5">
        <f>'[1]111&amp;112比較'!M24</f>
        <v>15680</v>
      </c>
      <c r="N30" s="5">
        <f>'[1]111&amp;112比較'!N24</f>
        <v>19600</v>
      </c>
      <c r="O30" s="6">
        <f t="shared" si="9"/>
        <v>208800</v>
      </c>
    </row>
    <row r="31" spans="1:15" ht="23.1" customHeight="1">
      <c r="A31" s="23"/>
      <c r="B31" s="10" t="s">
        <v>24</v>
      </c>
      <c r="C31" s="10">
        <v>8160</v>
      </c>
      <c r="D31" s="10">
        <f>'[1]111&amp;112比較'!D26</f>
        <v>27060</v>
      </c>
      <c r="E31" s="10">
        <v>7390</v>
      </c>
      <c r="F31" s="10">
        <f>'[1]111&amp;112比較'!F26</f>
        <v>8380</v>
      </c>
      <c r="G31" s="10">
        <f>7450+7100+7800</f>
        <v>22350</v>
      </c>
      <c r="H31" s="10">
        <f>8310+8050</f>
        <v>16360</v>
      </c>
      <c r="I31" s="10">
        <f>'[1]111&amp;112比較'!I26</f>
        <v>7620</v>
      </c>
      <c r="J31" s="10">
        <f>'[1]111&amp;112比較'!J26</f>
        <v>26920</v>
      </c>
      <c r="K31" s="10">
        <f>'[1]111&amp;112比較'!K26</f>
        <v>8460</v>
      </c>
      <c r="L31" s="10">
        <f>'[1]111&amp;112比較'!L26</f>
        <v>16800</v>
      </c>
      <c r="M31" s="10">
        <f>'[1]111&amp;112比較'!M26</f>
        <v>11450</v>
      </c>
      <c r="N31" s="10">
        <f>'[1]111&amp;112比較'!N26</f>
        <v>7640</v>
      </c>
      <c r="O31" s="11">
        <f t="shared" si="9"/>
        <v>168590</v>
      </c>
    </row>
    <row r="32" spans="1:15" ht="23.1" customHeight="1">
      <c r="A32" s="23"/>
      <c r="B32" s="12" t="s">
        <v>19</v>
      </c>
      <c r="C32" s="13">
        <f>C31-C30</f>
        <v>-7290</v>
      </c>
      <c r="D32" s="13">
        <f t="shared" ref="D32:N32" si="16">D31-D30</f>
        <v>13710</v>
      </c>
      <c r="E32" s="13">
        <f t="shared" si="16"/>
        <v>-16120</v>
      </c>
      <c r="F32" s="13">
        <f t="shared" si="16"/>
        <v>-18530</v>
      </c>
      <c r="G32" s="13">
        <f t="shared" si="16"/>
        <v>3130</v>
      </c>
      <c r="H32" s="13">
        <f t="shared" si="16"/>
        <v>10400</v>
      </c>
      <c r="I32" s="13">
        <f t="shared" si="16"/>
        <v>-9710</v>
      </c>
      <c r="J32" s="13">
        <f t="shared" si="16"/>
        <v>-3040</v>
      </c>
      <c r="K32" s="13">
        <f t="shared" si="16"/>
        <v>1240</v>
      </c>
      <c r="L32" s="13">
        <f t="shared" si="16"/>
        <v>2190</v>
      </c>
      <c r="M32" s="13">
        <f t="shared" si="16"/>
        <v>-4230</v>
      </c>
      <c r="N32" s="13">
        <f t="shared" si="16"/>
        <v>-11960</v>
      </c>
      <c r="O32" s="14">
        <f t="shared" ref="O32" si="17">SUM(C32:N32)</f>
        <v>-40210</v>
      </c>
    </row>
    <row r="33" spans="1:15" ht="23.1" customHeight="1">
      <c r="A33" s="23"/>
      <c r="B33" s="15" t="s">
        <v>34</v>
      </c>
      <c r="C33" s="16">
        <f t="shared" ref="C33:N33" si="18">(C32/C30)*100</f>
        <v>-47.184466019417478</v>
      </c>
      <c r="D33" s="16">
        <f t="shared" si="18"/>
        <v>102.69662921348315</v>
      </c>
      <c r="E33" s="16">
        <f t="shared" si="18"/>
        <v>-68.566567418119945</v>
      </c>
      <c r="F33" s="16">
        <f t="shared" si="18"/>
        <v>-68.859160163507994</v>
      </c>
      <c r="G33" s="16">
        <f t="shared" si="18"/>
        <v>16.285119667013529</v>
      </c>
      <c r="H33" s="16">
        <f t="shared" si="18"/>
        <v>174.49664429530202</v>
      </c>
      <c r="I33" s="16">
        <f t="shared" si="18"/>
        <v>-56.030005770340452</v>
      </c>
      <c r="J33" s="16">
        <f t="shared" si="18"/>
        <v>-10.146862483311081</v>
      </c>
      <c r="K33" s="16">
        <f t="shared" si="18"/>
        <v>17.174515235457065</v>
      </c>
      <c r="L33" s="16">
        <f t="shared" si="18"/>
        <v>14.989733059548255</v>
      </c>
      <c r="M33" s="16">
        <f t="shared" si="18"/>
        <v>-26.977040816326532</v>
      </c>
      <c r="N33" s="16">
        <f t="shared" si="18"/>
        <v>-61.020408163265301</v>
      </c>
      <c r="O33" s="17">
        <f>(O32/O30)*100</f>
        <v>-19.257662835249043</v>
      </c>
    </row>
    <row r="34" spans="1:15" ht="21.75" customHeight="1">
      <c r="A34" s="23"/>
      <c r="B34" s="10" t="s">
        <v>35</v>
      </c>
      <c r="C34" s="10">
        <v>200850</v>
      </c>
      <c r="D34" s="10">
        <v>173550</v>
      </c>
      <c r="E34" s="10">
        <v>305630</v>
      </c>
      <c r="F34" s="10">
        <v>349830</v>
      </c>
      <c r="G34" s="10">
        <v>249860</v>
      </c>
      <c r="H34" s="10">
        <v>46488</v>
      </c>
      <c r="I34" s="10">
        <v>135174</v>
      </c>
      <c r="J34" s="10">
        <f>J30*7.8</f>
        <v>233688</v>
      </c>
      <c r="K34" s="10">
        <f>K30*7.8</f>
        <v>56316</v>
      </c>
      <c r="L34" s="10">
        <v>113958</v>
      </c>
      <c r="M34" s="10">
        <v>122304</v>
      </c>
      <c r="N34" s="10">
        <v>152880</v>
      </c>
      <c r="O34" s="11">
        <f t="shared" ref="O34:O36" si="19">SUM(C34:N34)</f>
        <v>2140528</v>
      </c>
    </row>
    <row r="35" spans="1:15" ht="23.1" customHeight="1">
      <c r="A35" s="23"/>
      <c r="B35" s="10" t="s">
        <v>32</v>
      </c>
      <c r="C35" s="10">
        <v>63648</v>
      </c>
      <c r="D35" s="10">
        <v>208077</v>
      </c>
      <c r="E35" s="10">
        <v>57642</v>
      </c>
      <c r="F35" s="10">
        <v>65364</v>
      </c>
      <c r="G35" s="10">
        <f>111360+60294</f>
        <v>171654</v>
      </c>
      <c r="H35" s="10">
        <f>64818+62790</f>
        <v>127608</v>
      </c>
      <c r="I35" s="10">
        <v>59436</v>
      </c>
      <c r="J35" s="10">
        <f>J31*7.8</f>
        <v>209976</v>
      </c>
      <c r="K35" s="10">
        <f>K31*7.8</f>
        <v>65988</v>
      </c>
      <c r="L35" s="10">
        <f>L31*7.8</f>
        <v>131040</v>
      </c>
      <c r="M35" s="29">
        <f>11450*7.8</f>
        <v>89310</v>
      </c>
      <c r="N35" s="29">
        <f>7640*7.8</f>
        <v>59592</v>
      </c>
      <c r="O35" s="11">
        <f t="shared" si="19"/>
        <v>1309335</v>
      </c>
    </row>
    <row r="36" spans="1:15" ht="23.1" customHeight="1" thickBot="1">
      <c r="A36" s="24"/>
      <c r="B36" s="25" t="s">
        <v>19</v>
      </c>
      <c r="C36" s="20">
        <f>C35-C34</f>
        <v>-137202</v>
      </c>
      <c r="D36" s="20">
        <f t="shared" ref="D36:N36" si="20">D35-D34</f>
        <v>34527</v>
      </c>
      <c r="E36" s="20">
        <f t="shared" si="20"/>
        <v>-247988</v>
      </c>
      <c r="F36" s="20">
        <f t="shared" si="20"/>
        <v>-284466</v>
      </c>
      <c r="G36" s="20">
        <f t="shared" si="20"/>
        <v>-78206</v>
      </c>
      <c r="H36" s="20">
        <f t="shared" si="20"/>
        <v>81120</v>
      </c>
      <c r="I36" s="20">
        <f t="shared" si="20"/>
        <v>-75738</v>
      </c>
      <c r="J36" s="20">
        <f t="shared" si="20"/>
        <v>-23712</v>
      </c>
      <c r="K36" s="20">
        <f t="shared" si="20"/>
        <v>9672</v>
      </c>
      <c r="L36" s="20">
        <f t="shared" si="20"/>
        <v>17082</v>
      </c>
      <c r="M36" s="20">
        <f t="shared" si="20"/>
        <v>-32994</v>
      </c>
      <c r="N36" s="20">
        <f t="shared" si="20"/>
        <v>-93288</v>
      </c>
      <c r="O36" s="21">
        <f t="shared" si="19"/>
        <v>-831193</v>
      </c>
    </row>
    <row r="37" spans="1:15" ht="23.1" customHeight="1" thickBot="1">
      <c r="A37" s="30" t="s">
        <v>36</v>
      </c>
      <c r="B37" s="31" t="s">
        <v>37</v>
      </c>
      <c r="C37" s="31">
        <v>185208</v>
      </c>
      <c r="D37" s="31">
        <v>146118</v>
      </c>
      <c r="E37" s="31">
        <v>257238</v>
      </c>
      <c r="F37" s="31">
        <v>225494</v>
      </c>
      <c r="G37" s="32">
        <f>188131+29040+22187</f>
        <v>239358</v>
      </c>
      <c r="H37" s="32">
        <f>227914+28662+26051</f>
        <v>282627</v>
      </c>
      <c r="I37" s="32">
        <f>281811+39936+32048</f>
        <v>353795</v>
      </c>
      <c r="J37" s="32">
        <f>280017+38516+31434</f>
        <v>349967</v>
      </c>
      <c r="K37" s="32">
        <f>248705+32785+28799</f>
        <v>310289</v>
      </c>
      <c r="L37" s="32">
        <f>233882+31701+19865</f>
        <v>285448</v>
      </c>
      <c r="M37" s="33">
        <f>106551+8903+10107+(63565.2-30825.1)</f>
        <v>158301.1</v>
      </c>
      <c r="N37" s="33">
        <f>81333+887+1981+(109758.2-63571.3)</f>
        <v>130387.9</v>
      </c>
      <c r="O37" s="6">
        <f>SUM(C37:N37)</f>
        <v>2924231</v>
      </c>
    </row>
    <row r="38" spans="1:15" ht="23.1" customHeight="1">
      <c r="A38" s="34"/>
      <c r="B38" s="35" t="s">
        <v>38</v>
      </c>
      <c r="C38" s="35">
        <v>115587</v>
      </c>
      <c r="D38" s="35">
        <v>110951</v>
      </c>
      <c r="E38" s="35">
        <v>108198</v>
      </c>
      <c r="F38" s="35">
        <v>142158</v>
      </c>
      <c r="G38" s="36">
        <f>76091+677+4786+74681</f>
        <v>156235</v>
      </c>
      <c r="H38" s="36">
        <f>83121+601+4790+111421</f>
        <v>199933</v>
      </c>
      <c r="I38" s="37">
        <f>92356+662+5312+((((614888.3-572735.8)/12)*8+572735.8)-480580.7)</f>
        <v>218586.76666666666</v>
      </c>
      <c r="J38" s="37">
        <f>93445+598+5249+(709015.9-(((614888.3-572735.8)/12)*8+572735.8))</f>
        <v>207470.43333333335</v>
      </c>
      <c r="K38" s="37">
        <f>98319+(810068-709033.6)</f>
        <v>199353.40000000002</v>
      </c>
      <c r="L38" s="37">
        <f>92783+474+5310+(891018.2-809975.9)</f>
        <v>179609.29999999993</v>
      </c>
      <c r="M38" s="37">
        <f>87277+447+4742+(966278.2-893819.5)</f>
        <v>164924.69999999995</v>
      </c>
      <c r="N38" s="37">
        <f>86800+404+4745+(1021430.6-966283.2)</f>
        <v>147096.40000000002</v>
      </c>
      <c r="O38" s="6">
        <f>SUM(C38:N38)</f>
        <v>1950103</v>
      </c>
    </row>
    <row r="39" spans="1:15" ht="23.1" customHeight="1">
      <c r="A39" s="38"/>
      <c r="B39" s="12" t="s">
        <v>19</v>
      </c>
      <c r="C39" s="13">
        <f>C38-C37</f>
        <v>-69621</v>
      </c>
      <c r="D39" s="13">
        <f t="shared" ref="D39:N39" si="21">D38-D37</f>
        <v>-35167</v>
      </c>
      <c r="E39" s="13">
        <f t="shared" si="21"/>
        <v>-149040</v>
      </c>
      <c r="F39" s="13">
        <f t="shared" si="21"/>
        <v>-83336</v>
      </c>
      <c r="G39" s="13">
        <f t="shared" si="21"/>
        <v>-83123</v>
      </c>
      <c r="H39" s="13">
        <f t="shared" si="21"/>
        <v>-82694</v>
      </c>
      <c r="I39" s="13">
        <f t="shared" si="21"/>
        <v>-135208.23333333334</v>
      </c>
      <c r="J39" s="13">
        <f t="shared" si="21"/>
        <v>-142496.56666666665</v>
      </c>
      <c r="K39" s="13">
        <f t="shared" si="21"/>
        <v>-110935.59999999998</v>
      </c>
      <c r="L39" s="13">
        <f t="shared" si="21"/>
        <v>-105838.70000000007</v>
      </c>
      <c r="M39" s="13">
        <f t="shared" si="21"/>
        <v>6623.5999999999476</v>
      </c>
      <c r="N39" s="13">
        <f t="shared" si="21"/>
        <v>16708.500000000029</v>
      </c>
      <c r="O39" s="14">
        <f t="shared" ref="O39" si="22">SUM(C39:N39)</f>
        <v>-974128.00000000012</v>
      </c>
    </row>
    <row r="40" spans="1:15" ht="23.1" customHeight="1" thickBot="1">
      <c r="A40" s="39"/>
      <c r="B40" s="40" t="s">
        <v>39</v>
      </c>
      <c r="C40" s="41">
        <f>(C39/C37)*100</f>
        <v>-37.590708824672802</v>
      </c>
      <c r="D40" s="41">
        <f t="shared" ref="D40:N40" si="23">(D39/D37)*100</f>
        <v>-24.067534458451391</v>
      </c>
      <c r="E40" s="41">
        <f t="shared" si="23"/>
        <v>-57.938562731789233</v>
      </c>
      <c r="F40" s="41">
        <f t="shared" si="23"/>
        <v>-36.95708089793964</v>
      </c>
      <c r="G40" s="41">
        <f t="shared" si="23"/>
        <v>-34.727479340569353</v>
      </c>
      <c r="H40" s="41">
        <f t="shared" si="23"/>
        <v>-29.259058759424967</v>
      </c>
      <c r="I40" s="41">
        <f t="shared" si="23"/>
        <v>-38.21654724722886</v>
      </c>
      <c r="J40" s="41">
        <f t="shared" si="23"/>
        <v>-40.717143806892267</v>
      </c>
      <c r="K40" s="41">
        <f t="shared" si="23"/>
        <v>-35.752347005533544</v>
      </c>
      <c r="L40" s="41">
        <f t="shared" si="23"/>
        <v>-37.07810179086912</v>
      </c>
      <c r="M40" s="41">
        <f t="shared" si="23"/>
        <v>4.1841781263680087</v>
      </c>
      <c r="N40" s="41">
        <f t="shared" si="23"/>
        <v>12.81445594261433</v>
      </c>
      <c r="O40" s="17">
        <f>(O39/O37)*100</f>
        <v>-33.312279365070687</v>
      </c>
    </row>
    <row r="41" spans="1:15" ht="45" customHeight="1" thickBot="1">
      <c r="A41" s="42" t="s">
        <v>40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4"/>
    </row>
  </sheetData>
  <mergeCells count="7">
    <mergeCell ref="A41:O41"/>
    <mergeCell ref="A1:O1"/>
    <mergeCell ref="A3:A11"/>
    <mergeCell ref="A12:A20"/>
    <mergeCell ref="A21:A29"/>
    <mergeCell ref="A30:A36"/>
    <mergeCell ref="A37:A40"/>
  </mergeCells>
  <phoneticPr fontId="5" type="noConversion"/>
  <pageMargins left="0.17" right="0.17" top="0.17" bottom="0.75" header="0.17" footer="0.3"/>
  <pageSetup scale="6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79998168889431442"/>
  </sheetPr>
  <dimension ref="A1:O30"/>
  <sheetViews>
    <sheetView tabSelected="1" workbookViewId="0">
      <pane xSplit="2" ySplit="2" topLeftCell="C3" activePane="bottomRight" state="frozen"/>
      <selection activeCell="J4" sqref="J4"/>
      <selection pane="topRight" activeCell="J4" sqref="J4"/>
      <selection pane="bottomLeft" activeCell="J4" sqref="J4"/>
      <selection pane="bottomRight" activeCell="J4" sqref="J4"/>
    </sheetView>
  </sheetViews>
  <sheetFormatPr defaultRowHeight="21" customHeight="1"/>
  <cols>
    <col min="1" max="1" width="14.875" style="47" bestFit="1" customWidth="1"/>
    <col min="2" max="2" width="27.625" style="47" bestFit="1" customWidth="1"/>
    <col min="3" max="3" width="16.875" style="47" customWidth="1"/>
    <col min="4" max="4" width="19.5" style="47" bestFit="1" customWidth="1"/>
    <col min="5" max="10" width="16.875" style="47" customWidth="1"/>
    <col min="11" max="11" width="15.25" style="47" customWidth="1"/>
    <col min="12" max="13" width="0" style="47" hidden="1" customWidth="1"/>
    <col min="14" max="14" width="9" style="47"/>
    <col min="15" max="15" width="18.375" style="47" bestFit="1" customWidth="1"/>
    <col min="16" max="16384" width="9" style="47"/>
  </cols>
  <sheetData>
    <row r="1" spans="1:15" ht="24.75" customHeight="1" thickBot="1">
      <c r="A1" s="45" t="s">
        <v>41</v>
      </c>
      <c r="B1" s="45"/>
      <c r="C1" s="45"/>
      <c r="D1" s="45"/>
      <c r="E1" s="45"/>
      <c r="F1" s="45"/>
      <c r="G1" s="45"/>
      <c r="H1" s="45"/>
      <c r="I1" s="45"/>
      <c r="J1" s="46"/>
      <c r="O1" s="48"/>
    </row>
    <row r="2" spans="1:15" ht="21" customHeight="1" thickBot="1">
      <c r="A2" s="49" t="s">
        <v>42</v>
      </c>
      <c r="B2" s="50" t="s">
        <v>1</v>
      </c>
      <c r="C2" s="50" t="s">
        <v>43</v>
      </c>
      <c r="D2" s="50" t="s">
        <v>44</v>
      </c>
      <c r="E2" s="50" t="s">
        <v>45</v>
      </c>
      <c r="F2" s="50" t="s">
        <v>46</v>
      </c>
      <c r="G2" s="50" t="s">
        <v>47</v>
      </c>
      <c r="H2" s="50" t="s">
        <v>48</v>
      </c>
      <c r="I2" s="50" t="s">
        <v>49</v>
      </c>
      <c r="J2" s="51" t="s">
        <v>50</v>
      </c>
    </row>
    <row r="3" spans="1:15" ht="21" customHeight="1">
      <c r="A3" s="52" t="s">
        <v>51</v>
      </c>
      <c r="B3" s="53" t="s">
        <v>52</v>
      </c>
      <c r="C3" s="54">
        <v>101706</v>
      </c>
      <c r="D3" s="54">
        <v>96863</v>
      </c>
      <c r="E3" s="54">
        <v>163989</v>
      </c>
      <c r="F3" s="54">
        <v>80159</v>
      </c>
      <c r="G3" s="54">
        <v>79140</v>
      </c>
      <c r="H3" s="54">
        <v>81148</v>
      </c>
      <c r="I3" s="54">
        <v>77273</v>
      </c>
      <c r="J3" s="55">
        <f>'[1]111&amp;112比較'!O14</f>
        <v>74050</v>
      </c>
      <c r="O3" s="56" t="s">
        <v>53</v>
      </c>
    </row>
    <row r="4" spans="1:15" ht="21" customHeight="1">
      <c r="A4" s="57"/>
      <c r="B4" s="58" t="s">
        <v>54</v>
      </c>
      <c r="C4" s="59">
        <v>12015</v>
      </c>
      <c r="D4" s="59">
        <v>19179</v>
      </c>
      <c r="E4" s="59">
        <v>16898</v>
      </c>
      <c r="F4" s="59">
        <v>17761</v>
      </c>
      <c r="G4" s="59">
        <v>21760</v>
      </c>
      <c r="H4" s="59">
        <v>35992</v>
      </c>
      <c r="I4" s="60">
        <v>30274</v>
      </c>
      <c r="J4" s="61">
        <f>'[1]111&amp;112比較'!O62</f>
        <v>24665.02</v>
      </c>
      <c r="L4" s="62">
        <v>111</v>
      </c>
      <c r="M4" s="62">
        <v>110</v>
      </c>
      <c r="O4" s="63" t="s">
        <v>55</v>
      </c>
    </row>
    <row r="5" spans="1:15" ht="21" customHeight="1" thickBot="1">
      <c r="A5" s="64"/>
      <c r="B5" s="65" t="s">
        <v>56</v>
      </c>
      <c r="C5" s="66">
        <v>11.81</v>
      </c>
      <c r="D5" s="66">
        <v>19.8</v>
      </c>
      <c r="E5" s="66">
        <v>10.3</v>
      </c>
      <c r="F5" s="66">
        <v>22.16</v>
      </c>
      <c r="G5" s="66">
        <v>27.5</v>
      </c>
      <c r="H5" s="66">
        <v>44.35</v>
      </c>
      <c r="I5" s="67">
        <f>IFERROR((I4/I3)*100," ")</f>
        <v>39.177979371837509</v>
      </c>
      <c r="J5" s="68">
        <f>IFERROR((J4/J3)*100," ")</f>
        <v>33.30860229574612</v>
      </c>
      <c r="L5" s="69">
        <v>3647</v>
      </c>
      <c r="M5" s="69">
        <v>4340</v>
      </c>
      <c r="O5" s="70" t="s">
        <v>57</v>
      </c>
    </row>
    <row r="6" spans="1:15" ht="21" customHeight="1">
      <c r="A6" s="71" t="s">
        <v>58</v>
      </c>
      <c r="B6" s="53" t="s">
        <v>59</v>
      </c>
      <c r="C6" s="54">
        <v>8786400</v>
      </c>
      <c r="D6" s="54">
        <v>8406000</v>
      </c>
      <c r="E6" s="54">
        <v>8057600</v>
      </c>
      <c r="F6" s="54">
        <v>8039200</v>
      </c>
      <c r="G6" s="54">
        <v>8199600</v>
      </c>
      <c r="H6" s="54">
        <v>8283200</v>
      </c>
      <c r="I6" s="54">
        <v>7745600</v>
      </c>
      <c r="J6" s="55">
        <f>'[1]111&amp;112比較'!O5</f>
        <v>6739600</v>
      </c>
      <c r="L6" s="62">
        <v>2861</v>
      </c>
      <c r="M6" s="62">
        <v>4459</v>
      </c>
      <c r="O6" s="72" t="s">
        <v>60</v>
      </c>
    </row>
    <row r="7" spans="1:15" ht="21" customHeight="1">
      <c r="A7" s="73"/>
      <c r="B7" s="74" t="s">
        <v>61</v>
      </c>
      <c r="C7" s="75">
        <v>175585</v>
      </c>
      <c r="D7" s="75">
        <v>123120</v>
      </c>
      <c r="E7" s="75">
        <v>349247</v>
      </c>
      <c r="F7" s="75">
        <v>136498</v>
      </c>
      <c r="G7" s="75">
        <v>157246</v>
      </c>
      <c r="H7" s="75">
        <v>237920</v>
      </c>
      <c r="I7" s="75">
        <v>134910</v>
      </c>
      <c r="J7" s="76">
        <f>(786890*6/12)+39341+(9110*5/12)+(4536*4/12)+(5011*6/12)</f>
        <v>440599.33333333331</v>
      </c>
      <c r="L7" s="47">
        <v>2982</v>
      </c>
      <c r="M7" s="47">
        <v>2820</v>
      </c>
    </row>
    <row r="8" spans="1:15" ht="21" customHeight="1">
      <c r="A8" s="73"/>
      <c r="B8" s="77" t="s">
        <v>62</v>
      </c>
      <c r="C8" s="78">
        <v>2</v>
      </c>
      <c r="D8" s="75">
        <v>1.46</v>
      </c>
      <c r="E8" s="75">
        <v>4.33</v>
      </c>
      <c r="F8" s="78">
        <v>1.7</v>
      </c>
      <c r="G8" s="75">
        <v>1.92</v>
      </c>
      <c r="H8" s="75">
        <v>2.79</v>
      </c>
      <c r="I8" s="78">
        <v>1.7</v>
      </c>
      <c r="J8" s="79">
        <f>IFERROR((J7/(J6+J7))*100," ")</f>
        <v>6.1363106075328089</v>
      </c>
      <c r="L8" s="69">
        <v>4116</v>
      </c>
      <c r="M8" s="69">
        <v>5297</v>
      </c>
    </row>
    <row r="9" spans="1:15" ht="21" customHeight="1">
      <c r="A9" s="73"/>
      <c r="B9" s="77" t="s">
        <v>63</v>
      </c>
      <c r="C9" s="78">
        <v>176</v>
      </c>
      <c r="D9" s="78">
        <v>121</v>
      </c>
      <c r="E9" s="78">
        <v>191.49</v>
      </c>
      <c r="F9" s="78">
        <v>194.2</v>
      </c>
      <c r="G9" s="78">
        <v>233.48</v>
      </c>
      <c r="H9" s="78">
        <v>237.92</v>
      </c>
      <c r="I9" s="78">
        <v>134.91</v>
      </c>
      <c r="J9" s="80">
        <f>J7/1000</f>
        <v>440.59933333333333</v>
      </c>
      <c r="L9" s="81"/>
      <c r="M9" s="81"/>
    </row>
    <row r="10" spans="1:15" ht="21" customHeight="1">
      <c r="A10" s="73"/>
      <c r="B10" s="77" t="s">
        <v>64</v>
      </c>
      <c r="C10" s="82">
        <v>1.9599999999999999E-2</v>
      </c>
      <c r="D10" s="82">
        <v>1.4200000000000001E-2</v>
      </c>
      <c r="E10" s="82">
        <v>2.3199999999999998E-2</v>
      </c>
      <c r="F10" s="82">
        <v>2.3599999999999999E-2</v>
      </c>
      <c r="G10" s="82">
        <v>2.9700000000000001E-2</v>
      </c>
      <c r="H10" s="82">
        <v>2.7900000000000001E-2</v>
      </c>
      <c r="I10" s="82">
        <v>1.7100000000000001E-2</v>
      </c>
      <c r="J10" s="83">
        <f>J8%</f>
        <v>6.1363106075328092E-2</v>
      </c>
      <c r="L10" s="81"/>
      <c r="M10" s="81"/>
    </row>
    <row r="11" spans="1:15" ht="21" customHeight="1">
      <c r="A11" s="84" t="s">
        <v>65</v>
      </c>
      <c r="B11" s="85" t="s">
        <v>66</v>
      </c>
      <c r="C11" s="86">
        <v>879658426</v>
      </c>
      <c r="D11" s="86">
        <v>775740306</v>
      </c>
      <c r="E11" s="86">
        <v>844825851</v>
      </c>
      <c r="F11" s="86">
        <v>858762545</v>
      </c>
      <c r="G11" s="86">
        <v>772927314</v>
      </c>
      <c r="H11" s="86">
        <f>889230466</f>
        <v>889230466</v>
      </c>
      <c r="I11" s="86">
        <v>945870625</v>
      </c>
      <c r="J11" s="87">
        <v>925381460</v>
      </c>
      <c r="L11" s="81"/>
      <c r="M11" s="81"/>
    </row>
    <row r="12" spans="1:15" ht="21" customHeight="1" thickBot="1">
      <c r="A12" s="88" t="s">
        <v>67</v>
      </c>
      <c r="B12" s="89" t="s">
        <v>68</v>
      </c>
      <c r="C12" s="90">
        <f>(C6/C11)*100</f>
        <v>0.9988422483433359</v>
      </c>
      <c r="D12" s="90">
        <f t="shared" ref="D12:I12" si="0">(D6/D11)*100</f>
        <v>1.0836100606070609</v>
      </c>
      <c r="E12" s="90">
        <f t="shared" si="0"/>
        <v>0.95375869363637644</v>
      </c>
      <c r="F12" s="90">
        <f t="shared" si="0"/>
        <v>0.93613770730999923</v>
      </c>
      <c r="G12" s="90">
        <f t="shared" si="0"/>
        <v>1.0608500762595641</v>
      </c>
      <c r="H12" s="90">
        <f t="shared" si="0"/>
        <v>0.93150204774922774</v>
      </c>
      <c r="I12" s="90">
        <f t="shared" si="0"/>
        <v>0.81888577520842243</v>
      </c>
      <c r="J12" s="91">
        <f>IFERROR((J6/J11)*100," ")</f>
        <v>0.72830506027211739</v>
      </c>
      <c r="L12" s="81"/>
      <c r="M12" s="81"/>
    </row>
    <row r="13" spans="1:15" ht="21" customHeight="1" thickBot="1">
      <c r="A13" s="92" t="s">
        <v>69</v>
      </c>
      <c r="B13" s="93" t="s">
        <v>70</v>
      </c>
      <c r="C13" s="94"/>
      <c r="D13" s="94"/>
      <c r="E13" s="94">
        <v>352627</v>
      </c>
      <c r="F13" s="94">
        <v>334404</v>
      </c>
      <c r="G13" s="94">
        <v>347351</v>
      </c>
      <c r="H13" s="94">
        <v>449837</v>
      </c>
      <c r="I13" s="94">
        <v>461189</v>
      </c>
      <c r="J13" s="95">
        <f>'[1]107~112躉電費(AB倉)'!O8+'[1]107~112躉電費(AB倉)'!O32</f>
        <v>484810</v>
      </c>
      <c r="L13" s="81"/>
      <c r="M13" s="81"/>
    </row>
    <row r="14" spans="1:15" s="102" customFormat="1" ht="21" customHeight="1">
      <c r="A14" s="96" t="s">
        <v>71</v>
      </c>
      <c r="B14" s="97" t="s">
        <v>54</v>
      </c>
      <c r="C14" s="98">
        <v>12015</v>
      </c>
      <c r="D14" s="99">
        <v>19179</v>
      </c>
      <c r="E14" s="99">
        <v>16898</v>
      </c>
      <c r="F14" s="99">
        <v>17761</v>
      </c>
      <c r="G14" s="98">
        <v>21760</v>
      </c>
      <c r="H14" s="100">
        <v>35992</v>
      </c>
      <c r="I14" s="100">
        <v>30274</v>
      </c>
      <c r="J14" s="101">
        <f>J4</f>
        <v>24665.02</v>
      </c>
      <c r="L14" s="102">
        <v>4379</v>
      </c>
      <c r="M14" s="102">
        <v>3980</v>
      </c>
    </row>
    <row r="15" spans="1:15" s="102" customFormat="1" ht="21" customHeight="1">
      <c r="A15" s="103"/>
      <c r="B15" s="74" t="s">
        <v>72</v>
      </c>
      <c r="C15" s="104" t="s">
        <v>73</v>
      </c>
      <c r="D15" s="104" t="s">
        <v>73</v>
      </c>
      <c r="E15" s="104" t="s">
        <v>73</v>
      </c>
      <c r="F15" s="104">
        <v>378</v>
      </c>
      <c r="G15" s="104">
        <v>584</v>
      </c>
      <c r="H15" s="75">
        <v>1305</v>
      </c>
      <c r="I15" s="75">
        <v>115</v>
      </c>
      <c r="J15" s="105">
        <v>0</v>
      </c>
      <c r="L15" s="102">
        <v>2670</v>
      </c>
      <c r="M15" s="102">
        <v>4439</v>
      </c>
    </row>
    <row r="16" spans="1:15" s="102" customFormat="1" ht="21" customHeight="1">
      <c r="A16" s="103"/>
      <c r="B16" s="75" t="s">
        <v>74</v>
      </c>
      <c r="C16" s="104" t="s">
        <v>73</v>
      </c>
      <c r="D16" s="104" t="s">
        <v>73</v>
      </c>
      <c r="E16" s="104" t="s">
        <v>73</v>
      </c>
      <c r="F16" s="104">
        <v>23535</v>
      </c>
      <c r="G16" s="104">
        <v>0</v>
      </c>
      <c r="H16" s="75"/>
      <c r="I16" s="75"/>
      <c r="J16" s="106"/>
      <c r="L16" s="102">
        <v>3175</v>
      </c>
      <c r="M16" s="102">
        <v>4873</v>
      </c>
    </row>
    <row r="17" spans="1:13" s="102" customFormat="1" ht="21" customHeight="1">
      <c r="A17" s="103"/>
      <c r="B17" s="77" t="s">
        <v>61</v>
      </c>
      <c r="C17" s="104">
        <v>175585</v>
      </c>
      <c r="D17" s="104">
        <v>123120</v>
      </c>
      <c r="E17" s="104">
        <v>349247</v>
      </c>
      <c r="F17" s="104">
        <v>136498</v>
      </c>
      <c r="G17" s="104">
        <v>157246</v>
      </c>
      <c r="H17" s="75">
        <v>237920</v>
      </c>
      <c r="I17" s="75">
        <v>134910</v>
      </c>
      <c r="J17" s="107">
        <f>J7</f>
        <v>440599.33333333331</v>
      </c>
      <c r="L17" s="102">
        <v>3462</v>
      </c>
      <c r="M17" s="102">
        <v>4430</v>
      </c>
    </row>
    <row r="18" spans="1:13" s="102" customFormat="1" ht="21" hidden="1" customHeight="1">
      <c r="A18" s="103"/>
      <c r="B18" s="104" t="s">
        <v>75</v>
      </c>
      <c r="C18" s="104">
        <v>255081</v>
      </c>
      <c r="D18" s="104">
        <v>238085</v>
      </c>
      <c r="E18" s="104">
        <v>250174</v>
      </c>
      <c r="F18" s="104">
        <v>251645</v>
      </c>
      <c r="G18" s="104">
        <v>239739</v>
      </c>
      <c r="H18" s="75"/>
      <c r="I18" s="75"/>
      <c r="J18" s="106"/>
      <c r="L18" s="102">
        <v>2939</v>
      </c>
      <c r="M18" s="102">
        <v>4263</v>
      </c>
    </row>
    <row r="19" spans="1:13" s="102" customFormat="1" ht="21" customHeight="1">
      <c r="A19" s="108"/>
      <c r="B19" s="109" t="s">
        <v>76</v>
      </c>
      <c r="C19" s="110">
        <v>44</v>
      </c>
      <c r="D19" s="110">
        <v>30</v>
      </c>
      <c r="E19" s="110">
        <v>107.33</v>
      </c>
      <c r="F19" s="110">
        <v>78.010000000000005</v>
      </c>
      <c r="G19" s="110">
        <v>84.93</v>
      </c>
      <c r="H19" s="78">
        <v>96.32</v>
      </c>
      <c r="I19" s="78">
        <v>42.13</v>
      </c>
      <c r="J19" s="111">
        <v>84.22</v>
      </c>
    </row>
    <row r="20" spans="1:13" s="102" customFormat="1" ht="21" customHeight="1" thickBot="1">
      <c r="A20" s="112"/>
      <c r="B20" s="113" t="s">
        <v>77</v>
      </c>
      <c r="C20" s="114">
        <v>1.8100000000000002E-2</v>
      </c>
      <c r="D20" s="114">
        <v>1.3100000000000001E-2</v>
      </c>
      <c r="E20" s="114">
        <v>5.7599999999999998E-2</v>
      </c>
      <c r="F20" s="114">
        <v>4.3700000000000003E-2</v>
      </c>
      <c r="G20" s="114">
        <v>4.7800000000000002E-2</v>
      </c>
      <c r="H20" s="114">
        <v>5.0999999999999997E-2</v>
      </c>
      <c r="I20" s="114">
        <v>2.5100000000000001E-2</v>
      </c>
      <c r="J20" s="115">
        <v>5.3699999999999998E-2</v>
      </c>
    </row>
    <row r="21" spans="1:13" s="102" customFormat="1" ht="21" customHeight="1">
      <c r="A21" s="116" t="s">
        <v>78</v>
      </c>
      <c r="B21" s="98" t="s">
        <v>79</v>
      </c>
      <c r="C21" s="98"/>
      <c r="D21" s="98">
        <v>513.596</v>
      </c>
      <c r="E21" s="98">
        <v>-0.16900000000000001</v>
      </c>
      <c r="F21" s="98">
        <v>168.98699999999999</v>
      </c>
      <c r="G21" s="98">
        <v>233.71899999999999</v>
      </c>
      <c r="H21" s="100"/>
      <c r="I21" s="100"/>
      <c r="J21" s="117"/>
      <c r="L21" s="102">
        <v>3776</v>
      </c>
      <c r="M21" s="102">
        <v>3843</v>
      </c>
    </row>
    <row r="22" spans="1:13" s="102" customFormat="1" ht="21" customHeight="1">
      <c r="A22" s="118"/>
      <c r="B22" s="77" t="s">
        <v>80</v>
      </c>
      <c r="C22" s="104">
        <v>12015</v>
      </c>
      <c r="D22" s="104" t="s">
        <v>73</v>
      </c>
      <c r="E22" s="104" t="s">
        <v>73</v>
      </c>
      <c r="F22" s="104">
        <v>37740</v>
      </c>
      <c r="G22" s="104">
        <v>21964</v>
      </c>
      <c r="H22" s="75">
        <v>35992</v>
      </c>
      <c r="I22" s="75">
        <v>30274</v>
      </c>
      <c r="J22" s="107">
        <f>J4</f>
        <v>24665.02</v>
      </c>
      <c r="L22" s="102">
        <v>4226</v>
      </c>
      <c r="M22" s="102">
        <v>4034</v>
      </c>
    </row>
    <row r="23" spans="1:13" s="102" customFormat="1" ht="21" customHeight="1" thickBot="1">
      <c r="A23" s="119"/>
      <c r="B23" s="120" t="s">
        <v>81</v>
      </c>
      <c r="C23" s="120">
        <v>487820</v>
      </c>
      <c r="D23" s="120">
        <v>469090</v>
      </c>
      <c r="E23" s="120">
        <v>499500</v>
      </c>
      <c r="F23" s="120">
        <v>507460</v>
      </c>
      <c r="G23" s="120">
        <v>435420</v>
      </c>
      <c r="H23" s="66"/>
      <c r="I23" s="66"/>
      <c r="J23" s="121"/>
      <c r="L23" s="102">
        <v>4839</v>
      </c>
      <c r="M23" s="102">
        <v>4821</v>
      </c>
    </row>
    <row r="24" spans="1:13" ht="21" customHeight="1">
      <c r="A24" s="122" t="s">
        <v>82</v>
      </c>
      <c r="B24" s="97" t="s">
        <v>83</v>
      </c>
      <c r="C24" s="98">
        <v>71588</v>
      </c>
      <c r="D24" s="98">
        <v>77372</v>
      </c>
      <c r="E24" s="98">
        <v>90467</v>
      </c>
      <c r="F24" s="98">
        <v>52727</v>
      </c>
      <c r="G24" s="98">
        <v>58272</v>
      </c>
      <c r="H24" s="100">
        <v>51599</v>
      </c>
      <c r="I24" s="100">
        <v>43072</v>
      </c>
      <c r="J24" s="123">
        <f>'[1]111&amp;112比較'!O23</f>
        <v>66262</v>
      </c>
    </row>
    <row r="25" spans="1:13" ht="21" customHeight="1">
      <c r="A25" s="103"/>
      <c r="B25" s="104" t="s">
        <v>84</v>
      </c>
      <c r="C25" s="104">
        <v>183.58</v>
      </c>
      <c r="D25" s="104">
        <v>182.64</v>
      </c>
      <c r="E25" s="104">
        <v>198.56</v>
      </c>
      <c r="F25" s="104">
        <v>199.11</v>
      </c>
      <c r="G25" s="104">
        <v>144.47999999999999</v>
      </c>
      <c r="H25" s="75"/>
      <c r="I25" s="75"/>
      <c r="J25" s="106"/>
    </row>
    <row r="26" spans="1:13" ht="21" customHeight="1">
      <c r="A26" s="103"/>
      <c r="B26" s="104" t="s">
        <v>85</v>
      </c>
      <c r="C26" s="104">
        <v>4.37</v>
      </c>
      <c r="D26" s="104">
        <v>3.66</v>
      </c>
      <c r="E26" s="104">
        <v>5.84</v>
      </c>
      <c r="F26" s="104">
        <v>2.5499999999999998</v>
      </c>
      <c r="G26" s="104">
        <v>28.57</v>
      </c>
      <c r="H26" s="104"/>
      <c r="I26" s="104"/>
      <c r="J26" s="124"/>
    </row>
    <row r="27" spans="1:13" ht="21" customHeight="1">
      <c r="A27" s="108"/>
      <c r="B27" s="104" t="s">
        <v>86</v>
      </c>
      <c r="C27" s="104">
        <v>18.329999999999998</v>
      </c>
      <c r="D27" s="104">
        <v>16.52</v>
      </c>
      <c r="E27" s="104">
        <v>10.72</v>
      </c>
      <c r="F27" s="104">
        <v>19.3</v>
      </c>
      <c r="G27" s="104">
        <v>12.62</v>
      </c>
      <c r="H27" s="104"/>
      <c r="I27" s="104"/>
      <c r="J27" s="124"/>
    </row>
    <row r="28" spans="1:13" ht="21" customHeight="1">
      <c r="A28" s="108"/>
      <c r="B28" s="104" t="s">
        <v>87</v>
      </c>
      <c r="C28" s="104">
        <v>188.79</v>
      </c>
      <c r="D28" s="104">
        <v>143.68</v>
      </c>
      <c r="E28" s="104">
        <v>154.97</v>
      </c>
      <c r="F28" s="104">
        <v>161.11000000000001</v>
      </c>
      <c r="G28" s="104">
        <v>150.94</v>
      </c>
      <c r="H28" s="104"/>
      <c r="I28" s="104"/>
      <c r="J28" s="124"/>
    </row>
    <row r="29" spans="1:13" ht="21" customHeight="1">
      <c r="A29" s="108"/>
      <c r="B29" s="104" t="s">
        <v>88</v>
      </c>
      <c r="C29" s="104">
        <v>80.84</v>
      </c>
      <c r="D29" s="104">
        <v>66.53</v>
      </c>
      <c r="E29" s="104">
        <v>105.98</v>
      </c>
      <c r="F29" s="104">
        <v>90.38</v>
      </c>
      <c r="G29" s="104">
        <v>98.81</v>
      </c>
      <c r="H29" s="104"/>
      <c r="I29" s="104"/>
      <c r="J29" s="124"/>
    </row>
    <row r="30" spans="1:13" ht="21" customHeight="1" thickBot="1">
      <c r="A30" s="112"/>
      <c r="B30" s="120" t="s">
        <v>89</v>
      </c>
      <c r="C30" s="120">
        <v>11.91</v>
      </c>
      <c r="D30" s="120">
        <v>10.48</v>
      </c>
      <c r="E30" s="120">
        <v>23.43</v>
      </c>
      <c r="F30" s="120">
        <v>15.39</v>
      </c>
      <c r="G30" s="120">
        <v>0</v>
      </c>
      <c r="H30" s="120"/>
      <c r="I30" s="120"/>
      <c r="J30" s="125"/>
    </row>
  </sheetData>
  <mergeCells count="6">
    <mergeCell ref="A1:J1"/>
    <mergeCell ref="A3:A5"/>
    <mergeCell ref="A6:A10"/>
    <mergeCell ref="A14:A20"/>
    <mergeCell ref="A21:A23"/>
    <mergeCell ref="A24:A30"/>
  </mergeCells>
  <phoneticPr fontId="5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111&amp;112節能比較表(修改)</vt:lpstr>
      <vt:lpstr>年度能源節約率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大園廠-工務課-維修組</dc:creator>
  <cp:lastModifiedBy>大園廠-工務課-維修組</cp:lastModifiedBy>
  <dcterms:created xsi:type="dcterms:W3CDTF">2024-04-03T05:15:09Z</dcterms:created>
  <dcterms:modified xsi:type="dcterms:W3CDTF">2024-04-03T05:16:19Z</dcterms:modified>
</cp:coreProperties>
</file>